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omments3.xml" ContentType="application/vnd.openxmlformats-officedocument.spreadsheetml.comments+xml"/>
  <Override PartName="/xl/charts/chart1.xml" ContentType="application/vnd.openxmlformats-officedocument.drawingml.chart+xml"/>
  <Override PartName="/xl/drawings/drawing2.xml" ContentType="application/vnd.openxmlformats-officedocument.drawing+xml"/>
  <Override PartName="/xl/comments4.xml" ContentType="application/vnd.openxmlformats-officedocument.spreadsheetml.comments+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hidePivotFieldList="1" defaultThemeVersion="124226"/>
  <bookViews>
    <workbookView xWindow="-15" yWindow="6615" windowWidth="15480" windowHeight="6660" tabRatio="534"/>
  </bookViews>
  <sheets>
    <sheet name="Consumption" sheetId="2" r:id="rId1"/>
    <sheet name="Electricity Production" sheetId="6" r:id="rId2"/>
    <sheet name="Balance - CO2" sheetId="3" r:id="rId3"/>
    <sheet name="Parameters" sheetId="5" r:id="rId4"/>
    <sheet name="Countries Data" sheetId="7" r:id="rId5"/>
    <sheet name="Accuracy Test" sheetId="9" r:id="rId6"/>
  </sheets>
  <definedNames>
    <definedName name="_xlnm._FilterDatabase" localSheetId="0" hidden="1">Consumption!$A$1:$BX$2</definedName>
  </definedNames>
  <calcPr calcId="145621"/>
</workbook>
</file>

<file path=xl/calcChain.xml><?xml version="1.0" encoding="utf-8"?>
<calcChain xmlns="http://schemas.openxmlformats.org/spreadsheetml/2006/main">
  <c r="H26" i="3" l="1"/>
  <c r="R17" i="3"/>
  <c r="C30" i="5"/>
  <c r="C29" i="5"/>
  <c r="C28" i="5"/>
  <c r="M37" i="7"/>
  <c r="O37" i="7"/>
  <c r="O34" i="7" l="1"/>
  <c r="O33" i="7"/>
  <c r="N33" i="7"/>
  <c r="N34" i="7"/>
  <c r="N13" i="7"/>
  <c r="N14" i="7"/>
  <c r="N20" i="7"/>
  <c r="N21" i="7"/>
  <c r="N19" i="7"/>
  <c r="N18" i="7"/>
  <c r="N7" i="7"/>
  <c r="N6" i="7"/>
  <c r="N5" i="7"/>
  <c r="N4" i="7"/>
  <c r="N3" i="7"/>
  <c r="M34" i="7"/>
  <c r="M33" i="7"/>
  <c r="C9" i="9"/>
  <c r="D9" i="9"/>
  <c r="E9" i="9"/>
  <c r="F9" i="9"/>
  <c r="G9" i="9"/>
  <c r="H9" i="9"/>
  <c r="I9" i="9"/>
  <c r="J9" i="9"/>
  <c r="K9" i="9"/>
  <c r="L9" i="9"/>
  <c r="B9" i="9"/>
  <c r="G6" i="3"/>
  <c r="B9" i="2"/>
  <c r="F6" i="2" s="1"/>
  <c r="G7" i="3"/>
  <c r="G8" i="3"/>
  <c r="L13" i="2"/>
  <c r="C7" i="6"/>
  <c r="C8" i="6"/>
  <c r="C9" i="6"/>
  <c r="C11" i="6"/>
  <c r="C13" i="6"/>
  <c r="C14" i="6"/>
  <c r="C15" i="6"/>
  <c r="C16" i="6"/>
  <c r="C17" i="6"/>
  <c r="L20" i="7"/>
  <c r="L21" i="7"/>
  <c r="E21" i="7"/>
  <c r="O43" i="7"/>
  <c r="N43" i="7"/>
  <c r="M43" i="7"/>
  <c r="L34" i="7"/>
  <c r="L33" i="7"/>
  <c r="K34" i="7"/>
  <c r="K33" i="7"/>
  <c r="J34" i="7"/>
  <c r="J33" i="7"/>
  <c r="I34" i="7"/>
  <c r="I33" i="7"/>
  <c r="C1" i="2"/>
  <c r="D1" i="2"/>
  <c r="E1" i="2"/>
  <c r="F1" i="2"/>
  <c r="G1" i="2"/>
  <c r="H1" i="2"/>
  <c r="I1" i="2"/>
  <c r="J1" i="2"/>
  <c r="K1" i="2"/>
  <c r="L1" i="2"/>
  <c r="M1" i="2"/>
  <c r="N1" i="2"/>
  <c r="O1" i="2"/>
  <c r="P1" i="2"/>
  <c r="Q1" i="2"/>
  <c r="R1" i="2"/>
  <c r="S1" i="2"/>
  <c r="T1" i="2"/>
  <c r="U1" i="2"/>
  <c r="V1" i="2"/>
  <c r="W1" i="2"/>
  <c r="X1" i="2"/>
  <c r="Y1" i="2"/>
  <c r="Z1" i="2"/>
  <c r="AA1" i="2"/>
  <c r="AB1" i="2"/>
  <c r="AC1" i="2"/>
  <c r="AD1" i="2"/>
  <c r="AE1" i="2"/>
  <c r="AF1" i="2"/>
  <c r="AG1" i="2"/>
  <c r="AH1" i="2"/>
  <c r="AI1" i="2"/>
  <c r="AJ1" i="2"/>
  <c r="AK1" i="2"/>
  <c r="AL1" i="2"/>
  <c r="AM1" i="2"/>
  <c r="AN1" i="2"/>
  <c r="AO1" i="2"/>
  <c r="AP1" i="2"/>
  <c r="AQ1" i="2"/>
  <c r="AR1" i="2"/>
  <c r="AS1" i="2"/>
  <c r="AT1" i="2"/>
  <c r="AU1" i="2"/>
  <c r="AV1" i="2"/>
  <c r="AW1" i="2"/>
  <c r="AX1" i="2"/>
  <c r="AY1" i="2"/>
  <c r="AZ1" i="2"/>
  <c r="BA1" i="2"/>
  <c r="BB1" i="2"/>
  <c r="BC1" i="2"/>
  <c r="BD1" i="2"/>
  <c r="BE1" i="2"/>
  <c r="BF1" i="2"/>
  <c r="BG1" i="2"/>
  <c r="BH1" i="2"/>
  <c r="BI1" i="2"/>
  <c r="BJ1" i="2"/>
  <c r="BK1" i="2"/>
  <c r="BL1" i="2"/>
  <c r="BM1" i="2"/>
  <c r="BN1" i="2"/>
  <c r="BO1" i="2"/>
  <c r="BP1" i="2"/>
  <c r="BQ1" i="2"/>
  <c r="BR1" i="2"/>
  <c r="BS1" i="2"/>
  <c r="BT1" i="2"/>
  <c r="BU1" i="2"/>
  <c r="BV1" i="2"/>
  <c r="H34" i="7"/>
  <c r="H33" i="7"/>
  <c r="G34" i="7"/>
  <c r="G33" i="7"/>
  <c r="C33" i="7"/>
  <c r="C34" i="7"/>
  <c r="F34" i="7"/>
  <c r="C19" i="5" s="1"/>
  <c r="F33" i="7"/>
  <c r="C18" i="5" s="1"/>
  <c r="E34" i="7"/>
  <c r="E33" i="7"/>
  <c r="D33" i="7"/>
  <c r="D34" i="7"/>
  <c r="C27" i="5"/>
  <c r="P27" i="3" s="1"/>
  <c r="C26" i="5"/>
  <c r="C8" i="5"/>
  <c r="B26" i="2"/>
  <c r="F23" i="2" s="1"/>
  <c r="H23" i="2" s="1"/>
  <c r="D27" i="2"/>
  <c r="D26" i="2"/>
  <c r="D25" i="2"/>
  <c r="D24" i="2"/>
  <c r="D23" i="2"/>
  <c r="B17" i="2"/>
  <c r="F14" i="2" s="1"/>
  <c r="H14" i="2" s="1"/>
  <c r="D19" i="2"/>
  <c r="D17" i="2"/>
  <c r="D16" i="2"/>
  <c r="D15" i="2"/>
  <c r="D14" i="2"/>
  <c r="D10" i="2"/>
  <c r="D9" i="2"/>
  <c r="D8" i="2"/>
  <c r="D7" i="2"/>
  <c r="D6" i="2"/>
  <c r="F9" i="2"/>
  <c r="H9" i="2" s="1"/>
  <c r="L8" i="3"/>
  <c r="L7" i="3"/>
  <c r="C1" i="3"/>
  <c r="P24" i="3" s="1"/>
  <c r="C1" i="5"/>
  <c r="B1" i="6"/>
  <c r="B1" i="2"/>
  <c r="A24" i="6"/>
  <c r="A35" i="5"/>
  <c r="C16" i="5"/>
  <c r="G9" i="5"/>
  <c r="C6" i="5"/>
  <c r="C12" i="3"/>
  <c r="C5" i="5"/>
  <c r="L23" i="2" l="1"/>
  <c r="H6" i="2"/>
  <c r="P17" i="3"/>
  <c r="P23" i="3"/>
  <c r="F10" i="2"/>
  <c r="H10" i="2" s="1"/>
  <c r="J10" i="2" s="1"/>
  <c r="F8" i="2"/>
  <c r="H8" i="2" s="1"/>
  <c r="F7" i="2"/>
  <c r="H7" i="2" s="1"/>
  <c r="J7" i="2" s="1"/>
  <c r="L7" i="2" s="1"/>
  <c r="Q32" i="3"/>
  <c r="P20" i="3"/>
  <c r="J8" i="2"/>
  <c r="L8" i="2" s="1"/>
  <c r="J14" i="2"/>
  <c r="C9" i="5"/>
  <c r="B13" i="6" s="1"/>
  <c r="F17" i="2"/>
  <c r="H17" i="2" s="1"/>
  <c r="F27" i="2"/>
  <c r="H27" i="2" s="1"/>
  <c r="F19" i="2"/>
  <c r="H19" i="2" s="1"/>
  <c r="J19" i="2" s="1"/>
  <c r="F24" i="2"/>
  <c r="H24" i="2" s="1"/>
  <c r="F16" i="2"/>
  <c r="H16" i="2" s="1"/>
  <c r="J16" i="2" s="1"/>
  <c r="L16" i="2" s="1"/>
  <c r="F15" i="2"/>
  <c r="H15" i="2" s="1"/>
  <c r="F26" i="2"/>
  <c r="H26" i="2" s="1"/>
  <c r="L26" i="2" s="1"/>
  <c r="F25" i="2"/>
  <c r="H25" i="2" s="1"/>
  <c r="L25" i="2" s="1"/>
  <c r="H20" i="2" l="1"/>
  <c r="H29" i="2"/>
  <c r="J18" i="2"/>
  <c r="L18" i="2" s="1"/>
  <c r="L17" i="2"/>
  <c r="J17" i="2"/>
  <c r="J6" i="2"/>
  <c r="L6" i="2" s="1"/>
  <c r="C6" i="3" s="1"/>
  <c r="D6" i="3" s="1"/>
  <c r="H11" i="2"/>
  <c r="J9" i="2"/>
  <c r="L9" i="2" s="1"/>
  <c r="C8" i="3"/>
  <c r="D8" i="3" s="1"/>
  <c r="H8" i="3" s="1"/>
  <c r="F11" i="2"/>
  <c r="J15" i="2"/>
  <c r="L19" i="2" s="1"/>
  <c r="L24" i="2"/>
  <c r="L27" i="2"/>
  <c r="L28" i="2"/>
  <c r="C24" i="3" s="1"/>
  <c r="D24" i="3" s="1"/>
  <c r="F20" i="2"/>
  <c r="F29" i="2"/>
  <c r="L14" i="2"/>
  <c r="C21" i="3"/>
  <c r="D21" i="3" s="1"/>
  <c r="C23" i="3"/>
  <c r="D23" i="3" s="1"/>
  <c r="J11" i="2" l="1"/>
  <c r="L10" i="2"/>
  <c r="L11" i="2" s="1"/>
  <c r="J20" i="2"/>
  <c r="L24" i="3"/>
  <c r="O24" i="3" s="1"/>
  <c r="H24" i="3"/>
  <c r="L23" i="3"/>
  <c r="H23" i="3"/>
  <c r="H6" i="3"/>
  <c r="H21" i="3"/>
  <c r="L29" i="2"/>
  <c r="L15" i="2"/>
  <c r="H4" i="6"/>
  <c r="E13" i="6" s="1"/>
  <c r="E9" i="6" l="1"/>
  <c r="E7" i="6"/>
  <c r="L20" i="2"/>
  <c r="L21" i="2" s="1"/>
  <c r="E8" i="6"/>
  <c r="E11" i="6"/>
  <c r="E14" i="6"/>
  <c r="E16" i="6"/>
  <c r="E17" i="6"/>
  <c r="E15" i="6"/>
  <c r="C7" i="3"/>
  <c r="Q23" i="3"/>
  <c r="O23" i="3"/>
  <c r="P29" i="3"/>
  <c r="K32" i="2" l="1"/>
  <c r="H17" i="6"/>
  <c r="G17" i="6"/>
  <c r="H14" i="6"/>
  <c r="J14" i="6" s="1"/>
  <c r="C16" i="3" s="1"/>
  <c r="D16" i="3" s="1"/>
  <c r="H11" i="6"/>
  <c r="G11" i="6"/>
  <c r="H8" i="6"/>
  <c r="G8" i="6"/>
  <c r="D7" i="3"/>
  <c r="H15" i="6"/>
  <c r="J15" i="6" s="1"/>
  <c r="C17" i="3" s="1"/>
  <c r="D17" i="3" s="1"/>
  <c r="H16" i="6"/>
  <c r="G16" i="6"/>
  <c r="H13" i="6"/>
  <c r="G13" i="6"/>
  <c r="H9" i="6"/>
  <c r="G9" i="6"/>
  <c r="G7" i="6"/>
  <c r="H7" i="6"/>
  <c r="E18" i="6"/>
  <c r="E19" i="6" s="1"/>
  <c r="J13" i="6" l="1"/>
  <c r="J16" i="6"/>
  <c r="C18" i="3" s="1"/>
  <c r="D18" i="3" s="1"/>
  <c r="H18" i="3" s="1"/>
  <c r="J17" i="6"/>
  <c r="C20" i="3" s="1"/>
  <c r="D20" i="3" s="1"/>
  <c r="H20" i="3" s="1"/>
  <c r="G18" i="6"/>
  <c r="J9" i="6"/>
  <c r="C11" i="3" s="1"/>
  <c r="D11" i="3" s="1"/>
  <c r="H11" i="3" s="1"/>
  <c r="K7" i="6"/>
  <c r="J8" i="6"/>
  <c r="C10" i="3" s="1"/>
  <c r="D10" i="3" s="1"/>
  <c r="H10" i="3" s="1"/>
  <c r="J11" i="6"/>
  <c r="C13" i="3" s="1"/>
  <c r="D13" i="3" s="1"/>
  <c r="H13" i="3" s="1"/>
  <c r="J7" i="6"/>
  <c r="H18" i="6"/>
  <c r="K9" i="6"/>
  <c r="K13" i="6"/>
  <c r="K16" i="6"/>
  <c r="K15" i="6"/>
  <c r="J17" i="3" s="1"/>
  <c r="K17" i="3" s="1"/>
  <c r="L17" i="3" s="1"/>
  <c r="H7" i="3"/>
  <c r="K17" i="6"/>
  <c r="H17" i="3"/>
  <c r="K8" i="6"/>
  <c r="K11" i="6"/>
  <c r="K14" i="6"/>
  <c r="J16" i="3" s="1"/>
  <c r="K16" i="3" s="1"/>
  <c r="L16" i="3" s="1"/>
  <c r="H16" i="3"/>
  <c r="L13" i="3" l="1"/>
  <c r="C15" i="3"/>
  <c r="D15" i="3" s="1"/>
  <c r="L15" i="3" s="1"/>
  <c r="L20" i="3"/>
  <c r="P28" i="3" s="1"/>
  <c r="P30" i="3"/>
  <c r="Q17" i="3"/>
  <c r="O17" i="3"/>
  <c r="O16" i="3"/>
  <c r="O15" i="3"/>
  <c r="C9" i="3"/>
  <c r="J18" i="6"/>
  <c r="L15" i="6" s="1"/>
  <c r="H15" i="3" l="1"/>
  <c r="O20" i="3"/>
  <c r="P31" i="3"/>
  <c r="P32" i="3" s="1"/>
  <c r="D9" i="3"/>
  <c r="C25" i="3"/>
  <c r="H9" i="3" l="1"/>
  <c r="H25" i="3" s="1"/>
  <c r="L10" i="3"/>
  <c r="D25" i="3"/>
  <c r="D28" i="3" s="1"/>
  <c r="R7" i="3" l="1"/>
  <c r="R6" i="3"/>
  <c r="H27" i="3"/>
</calcChain>
</file>

<file path=xl/comments1.xml><?xml version="1.0" encoding="utf-8"?>
<comments xmlns="http://schemas.openxmlformats.org/spreadsheetml/2006/main">
  <authors>
    <author>UCLM</author>
  </authors>
  <commentList>
    <comment ref="E6" authorId="0">
      <text>
        <r>
          <rPr>
            <sz val="8"/>
            <color indexed="81"/>
            <rFont val="Tahoma"/>
          </rPr>
          <t>Default values fit the 2003 percentages.
Just write over to define your own production.</t>
        </r>
      </text>
    </comment>
  </commentList>
</comments>
</file>

<file path=xl/comments2.xml><?xml version="1.0" encoding="utf-8"?>
<comments xmlns="http://schemas.openxmlformats.org/spreadsheetml/2006/main">
  <authors>
    <author xml:space="preserve">ANTOINE CLAUDE BRET </author>
  </authors>
  <commentList>
    <comment ref="M29" authorId="0">
      <text>
        <r>
          <rPr>
            <sz val="8"/>
            <color indexed="81"/>
            <rFont val="Tahoma"/>
            <family val="2"/>
          </rPr>
          <t>Lands dedicated to biofuel would probably intersect the cultivated lands</t>
        </r>
      </text>
    </comment>
  </commentList>
</comments>
</file>

<file path=xl/comments3.xml><?xml version="1.0" encoding="utf-8"?>
<comments xmlns="http://schemas.openxmlformats.org/spreadsheetml/2006/main">
  <authors>
    <author>AntoineClaude.Bret</author>
    <author xml:space="preserve">ANTOINE CLAUDE BRET </author>
  </authors>
  <commentList>
    <comment ref="F5" authorId="0">
      <text>
        <r>
          <rPr>
            <sz val="8"/>
            <color indexed="81"/>
            <rFont val="Tahoma"/>
            <family val="2"/>
          </rPr>
          <t>If solar cells or wind machines produce only, say 2%, of the electricity, there is no need to store it.
But if you rely on one of them at 100%, you need to store all the electricity produced if you want to get some when there's no sun (or no wind).
It means that the stored part of the solar (or wind) generated electricity goes from 0% to 100% between a critical percentage  and 100%.
To stay simple, we have the stored part varying linearly between the critical percentage and 100%.
A report of the French Académie des Sciences, "Perspectives Energétiques, 2005" talks about a critical % of 10 to 15%.
Our default value is 20%.</t>
        </r>
      </text>
    </comment>
    <comment ref="C23" authorId="1">
      <text>
        <r>
          <rPr>
            <sz val="8"/>
            <color indexed="81"/>
            <rFont val="Tahoma"/>
            <family val="2"/>
          </rPr>
          <t>Adjusted to give an exact result for Spanish emissions</t>
        </r>
      </text>
    </comment>
  </commentList>
</comments>
</file>

<file path=xl/comments4.xml><?xml version="1.0" encoding="utf-8"?>
<comments xmlns="http://schemas.openxmlformats.org/spreadsheetml/2006/main">
  <authors>
    <author>UCLM</author>
  </authors>
  <commentList>
    <comment ref="A8" authorId="0">
      <text>
        <r>
          <rPr>
            <sz val="8"/>
            <color indexed="81"/>
            <rFont val="Tahoma"/>
          </rPr>
          <t>See "Countries Data" for Sources.</t>
        </r>
      </text>
    </comment>
  </commentList>
</comments>
</file>

<file path=xl/sharedStrings.xml><?xml version="1.0" encoding="utf-8"?>
<sst xmlns="http://schemas.openxmlformats.org/spreadsheetml/2006/main" count="243" uniqueCount="175">
  <si>
    <t>Diesel</t>
  </si>
  <si>
    <t>GWh</t>
  </si>
  <si>
    <t>kTep</t>
  </si>
  <si>
    <t>Transfer -&gt; Bio</t>
  </si>
  <si>
    <t>Transfer -&gt; Solar term</t>
  </si>
  <si>
    <t>+</t>
  </si>
  <si>
    <t>Total:</t>
  </si>
  <si>
    <t>Transfer -&gt; Elec.</t>
  </si>
  <si>
    <t>Transfer -&gt; Elec. H2</t>
  </si>
  <si>
    <t>ELEC</t>
  </si>
  <si>
    <t>MAX:</t>
  </si>
  <si>
    <t>MWh</t>
  </si>
  <si>
    <t>km2</t>
  </si>
  <si>
    <t>km</t>
  </si>
  <si>
    <t>%  2003*</t>
  </si>
  <si>
    <t>-</t>
  </si>
  <si>
    <t>Prod.</t>
  </si>
  <si>
    <t>T/GWh*</t>
  </si>
  <si>
    <t>Total</t>
  </si>
  <si>
    <t>Coef</t>
  </si>
  <si>
    <t>Pre-conv.**</t>
  </si>
  <si>
    <t>Transports (kTep)</t>
  </si>
  <si>
    <t>*Source:  IEA "Integrating Energy and Environmental Goals", 2003</t>
  </si>
  <si>
    <t>France</t>
  </si>
  <si>
    <t>USA</t>
  </si>
  <si>
    <t>Spain</t>
  </si>
  <si>
    <t>Denmark</t>
  </si>
  <si>
    <t>Canada</t>
  </si>
  <si>
    <t>UK</t>
  </si>
  <si>
    <t>Germany</t>
  </si>
  <si>
    <t>Belgium</t>
  </si>
  <si>
    <t>Italy</t>
  </si>
  <si>
    <t>Sweden</t>
  </si>
  <si>
    <t>Austria</t>
  </si>
  <si>
    <t>Greece</t>
  </si>
  <si>
    <t>Industry (kTep)</t>
  </si>
  <si>
    <t>Carbon</t>
  </si>
  <si>
    <t>Oil</t>
  </si>
  <si>
    <t>Gas</t>
  </si>
  <si>
    <t>Bio. Wood</t>
  </si>
  <si>
    <t>Electricity</t>
  </si>
  <si>
    <t>Surface</t>
  </si>
  <si>
    <t>Km of Highways</t>
  </si>
  <si>
    <t>%Elec gas</t>
  </si>
  <si>
    <t>%Elec Oil</t>
  </si>
  <si>
    <t>%Elec Nuclear</t>
  </si>
  <si>
    <t>%Elec Hydro</t>
  </si>
  <si>
    <t>%Elec Wind</t>
  </si>
  <si>
    <t>%Elec Solar</t>
  </si>
  <si>
    <t>%Elec Wood</t>
  </si>
  <si>
    <t>Surface (km2)</t>
  </si>
  <si>
    <t>Country:</t>
  </si>
  <si>
    <t>Solar</t>
  </si>
  <si>
    <t>Wind</t>
  </si>
  <si>
    <t>*Network losses are neglected for the more decentralized Wind and Solar</t>
  </si>
  <si>
    <t>Increase</t>
  </si>
  <si>
    <t>Years</t>
  </si>
  <si>
    <t>Rate</t>
  </si>
  <si>
    <t>Savings</t>
  </si>
  <si>
    <t>Electricity production</t>
  </si>
  <si>
    <t>Other Parameters</t>
  </si>
  <si>
    <t>Network losses</t>
  </si>
  <si>
    <t>Free parameters are in red. Everything else is calculated.</t>
  </si>
  <si>
    <t>Jet Fuel</t>
  </si>
  <si>
    <t>Gas Oil</t>
  </si>
  <si>
    <t>Natural Gas</t>
  </si>
  <si>
    <t>Renewables</t>
  </si>
  <si>
    <t>Missing</t>
  </si>
  <si>
    <t>Solar cells</t>
  </si>
  <si>
    <t>Nuclear</t>
  </si>
  <si>
    <t>Bio (Wood)</t>
  </si>
  <si>
    <t>Bio Fuel</t>
  </si>
  <si>
    <t>Solar Thermal</t>
  </si>
  <si>
    <t>Extract, or buy</t>
  </si>
  <si>
    <t>Nuclear Plants</t>
  </si>
  <si>
    <t>Fossil Plants</t>
  </si>
  <si>
    <t>km2 cells</t>
  </si>
  <si>
    <t>of Highways</t>
  </si>
  <si>
    <t>Biomass Wood</t>
  </si>
  <si>
    <t>Solar thermal</t>
  </si>
  <si>
    <t>Production required by the scenario:</t>
  </si>
  <si>
    <t>Production kind</t>
  </si>
  <si>
    <t>BioMass (Wood)</t>
  </si>
  <si>
    <t>Net. Losses*</t>
  </si>
  <si>
    <t>Prod. Consump.</t>
  </si>
  <si>
    <t>Total generation</t>
  </si>
  <si>
    <t>% of this scenario</t>
  </si>
  <si>
    <t>Requirements</t>
  </si>
  <si>
    <t>Total of surfaces required for…</t>
  </si>
  <si>
    <t>Typical thermal plant</t>
  </si>
  <si>
    <t>Typical nuclear plant</t>
  </si>
  <si>
    <t>Error</t>
  </si>
  <si>
    <t>Select Country =&gt;</t>
  </si>
  <si>
    <t>Population (1000 per.)</t>
  </si>
  <si>
    <t>China</t>
  </si>
  <si>
    <t>Services &amp; Households (kTep)</t>
  </si>
  <si>
    <t>Motor spirit</t>
  </si>
  <si>
    <t>Transports</t>
  </si>
  <si>
    <t>Storage coefficient for solar or wind</t>
  </si>
  <si>
    <t>Efficiency biofuel</t>
  </si>
  <si>
    <t>Efficiency biomass Wood</t>
  </si>
  <si>
    <t>Storage</t>
  </si>
  <si>
    <t>2. Produce your electricity...</t>
  </si>
  <si>
    <t>1. Define your consumption…</t>
  </si>
  <si>
    <t>3. See what you need and emit.</t>
  </si>
  <si>
    <t>km2 of fields</t>
  </si>
  <si>
    <t>km2 of collectors</t>
  </si>
  <si>
    <t>Ireland</t>
  </si>
  <si>
    <t>Geothermal</t>
  </si>
  <si>
    <t>T Eq. CO2 / M€</t>
  </si>
  <si>
    <t>T Eq. CO2 / ha</t>
  </si>
  <si>
    <t>Sources</t>
  </si>
  <si>
    <t>Calculated</t>
  </si>
  <si>
    <t>Greenhouse gases emissions (MT Eq. CO2)</t>
  </si>
  <si>
    <t>Here are the results for 11 EU countries.</t>
  </si>
  <si>
    <t>Data 2003</t>
  </si>
  <si>
    <t>Consumption for elec. generation</t>
  </si>
  <si>
    <t>CO2 emissions 2003 (MT CO2) - [2]</t>
  </si>
  <si>
    <t>Gross Dom Product 2003 [3]</t>
  </si>
  <si>
    <t>[2]: Key World Energy Statistics - IEA 2005</t>
  </si>
  <si>
    <t>[1] United Nations Climate Change - "Key GHG data".</t>
  </si>
  <si>
    <t>Errors for other countries</t>
  </si>
  <si>
    <t>% of electricity production</t>
  </si>
  <si>
    <t>Critical %</t>
  </si>
  <si>
    <t>GHG emissions 2003 (MT Eq. CO2) - [1]</t>
  </si>
  <si>
    <t>GHG Emissions</t>
  </si>
  <si>
    <t>Coef of GHG emissions out of electricity prod.</t>
  </si>
  <si>
    <t>Highways</t>
  </si>
  <si>
    <t>**Coef of emissions out of electricity production (see Parameters)</t>
  </si>
  <si>
    <t>Coal</t>
  </si>
  <si>
    <t>%Elec Coal</t>
  </si>
  <si>
    <t>Non EU Countries: IEA, OECD 2005</t>
  </si>
  <si>
    <t>Emissions per capita:</t>
  </si>
  <si>
    <t>Emissions per GDP:</t>
  </si>
  <si>
    <t>Biomass wood</t>
  </si>
  <si>
    <t>Transfer -&gt; Biofuels</t>
  </si>
  <si>
    <t>efficiency</t>
  </si>
  <si>
    <t>Cultivated Lands</t>
  </si>
  <si>
    <t>Cultivated Lands (km2) [4]</t>
  </si>
  <si>
    <t>[4]: Wikipedia, http://en.wikipedia.org/wiki/Land_use_statistics_by_country</t>
  </si>
  <si>
    <t>Max Hydro Capacity (TWh/y) [5]</t>
  </si>
  <si>
    <t>[5]: Hydropower and Dams, World Atlas, 2009</t>
  </si>
  <si>
    <t>Data are from 2003 or 2005, depending on country. See "Countries Data".</t>
  </si>
  <si>
    <t>GWh/km2/year</t>
  </si>
  <si>
    <t>GWh/km/year</t>
  </si>
  <si>
    <t>Max hydro capacity</t>
  </si>
  <si>
    <t>Parameters for electricity production</t>
  </si>
  <si>
    <t>km2 of woodland</t>
  </si>
  <si>
    <t>of cultivated lands</t>
  </si>
  <si>
    <t>TWh/year</t>
  </si>
  <si>
    <t>Gross Dom Product (M $US)</t>
  </si>
  <si>
    <t>km of wind turbines</t>
  </si>
  <si>
    <t>Cultivated lands</t>
  </si>
  <si>
    <t>Woodland</t>
  </si>
  <si>
    <t>Services &amp; Households</t>
  </si>
  <si>
    <t>Carbon for electricity: average with 50% of Combined Cycle (370 T CO2/GWh).</t>
  </si>
  <si>
    <t>Earth equator</t>
  </si>
  <si>
    <t xml:space="preserve">Objective EU 2010: </t>
  </si>
  <si>
    <t>Biofuel</t>
  </si>
  <si>
    <t>max. Capa.</t>
  </si>
  <si>
    <t>Hydro</t>
  </si>
  <si>
    <t>Other data</t>
  </si>
  <si>
    <t>Solar photovoltaic</t>
  </si>
  <si>
    <t>1 ton oil eq. Oil  (Toe) =</t>
  </si>
  <si>
    <t>Efficiency Elec. -&gt; H2 -&gt; Elec.</t>
  </si>
  <si>
    <t>%Elec Geothermal</t>
  </si>
  <si>
    <t>EU countries: Eurostat, Energy: Yearly statistics 2003, Edition 2005. European Environment Agency, Annual European Community greenhouse gas inventory 1990–2003 and inventory report 2005.</t>
  </si>
  <si>
    <t>[3]: Million US dollars, current prices and PPPs, from "OECD Factbook 2006: Economic, Environmental and Social Statistics" - ISBN 92-64-03561-3. For India and China [1], data from 1994.</t>
  </si>
  <si>
    <t>Data</t>
  </si>
  <si>
    <t>These numbers are not supposed to be exact. They're only expected to give a good flavor of the real ones.</t>
  </si>
  <si>
    <t>MT CO2eq</t>
  </si>
  <si>
    <t>One way to evaluate the accuracy of the spreadsheet is to compare the calculated emissions with the known data.</t>
  </si>
  <si>
    <t>The data recorded in the "Countries data" (4057 MT) date from 1994. A 6.5% yearly increase yields almost exactly the calculated result in 2003 (7119 MT).</t>
  </si>
  <si>
    <t>Nothing to edit. Just watch.</t>
  </si>
  <si>
    <t>Hydro - Max capacity:</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</si>
</sst>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0.0"/>
    <numFmt numFmtId="166" formatCode="0.0%"/>
    <numFmt numFmtId="167" formatCode="#,##0.0"/>
  </numFmts>
  <fonts count="49" x14ac:knownFonts="1">
    <font>
      <sz val="10"/>
      <name val="Arial"/>
    </font>
    <font>
      <sz val="10"/>
      <name val="Arial"/>
    </font>
    <font>
      <b/>
      <sz val="10"/>
      <name val="Arial"/>
      <family val="2"/>
    </font>
    <font>
      <sz val="8"/>
      <name val="Arial"/>
    </font>
    <font>
      <sz val="10"/>
      <color indexed="10"/>
      <name val="Arial"/>
    </font>
    <font>
      <sz val="10"/>
      <name val="Arial"/>
      <family val="2"/>
    </font>
    <font>
      <b/>
      <sz val="10"/>
      <color indexed="10"/>
      <name val="Arial"/>
      <family val="2"/>
    </font>
    <font>
      <b/>
      <sz val="14"/>
      <name val="Arial"/>
      <family val="2"/>
    </font>
    <font>
      <b/>
      <sz val="10"/>
      <color indexed="18"/>
      <name val="Arial"/>
      <family val="2"/>
    </font>
    <font>
      <b/>
      <sz val="10"/>
      <color indexed="9"/>
      <name val="Arial"/>
      <family val="2"/>
    </font>
    <font>
      <sz val="10"/>
      <color indexed="11"/>
      <name val="Arial"/>
    </font>
    <font>
      <i/>
      <sz val="10"/>
      <name val="Arial"/>
      <family val="2"/>
    </font>
    <font>
      <sz val="8"/>
      <color indexed="18"/>
      <name val="Arial"/>
    </font>
    <font>
      <i/>
      <sz val="8"/>
      <color indexed="18"/>
      <name val="Arial"/>
      <family val="2"/>
    </font>
    <font>
      <b/>
      <sz val="8"/>
      <name val="Arial"/>
      <family val="2"/>
    </font>
    <font>
      <sz val="8"/>
      <name val="Arial"/>
      <family val="2"/>
    </font>
    <font>
      <b/>
      <sz val="10"/>
      <color indexed="18"/>
      <name val="Arial"/>
    </font>
    <font>
      <b/>
      <sz val="8"/>
      <color indexed="18"/>
      <name val="Arial"/>
      <family val="2"/>
    </font>
    <font>
      <i/>
      <sz val="10"/>
      <color indexed="10"/>
      <name val="Arial"/>
      <family val="2"/>
    </font>
    <font>
      <b/>
      <u/>
      <sz val="10"/>
      <name val="Arial"/>
      <family val="2"/>
    </font>
    <font>
      <sz val="8"/>
      <color indexed="17"/>
      <name val="Arial"/>
      <family val="2"/>
    </font>
    <font>
      <b/>
      <sz val="8"/>
      <color indexed="17"/>
      <name val="Arial"/>
      <family val="2"/>
    </font>
    <font>
      <sz val="8"/>
      <color indexed="17"/>
      <name val="Arial"/>
    </font>
    <font>
      <i/>
      <sz val="8"/>
      <color indexed="17"/>
      <name val="Arial"/>
      <family val="2"/>
    </font>
    <font>
      <i/>
      <sz val="8"/>
      <name val="Arial"/>
      <family val="2"/>
    </font>
    <font>
      <sz val="8"/>
      <color indexed="18"/>
      <name val="Arial"/>
      <family val="2"/>
    </font>
    <font>
      <sz val="10"/>
      <color indexed="18"/>
      <name val="Arial"/>
      <family val="2"/>
    </font>
    <font>
      <sz val="10"/>
      <color indexed="10"/>
      <name val="Arial"/>
      <family val="2"/>
    </font>
    <font>
      <b/>
      <i/>
      <sz val="10"/>
      <name val="Arial"/>
      <family val="2"/>
    </font>
    <font>
      <i/>
      <sz val="10"/>
      <color indexed="11"/>
      <name val="Arial"/>
      <family val="2"/>
    </font>
    <font>
      <i/>
      <sz val="10"/>
      <color indexed="18"/>
      <name val="Arial"/>
      <family val="2"/>
    </font>
    <font>
      <sz val="8"/>
      <color indexed="10"/>
      <name val="Arial"/>
      <family val="2"/>
    </font>
    <font>
      <b/>
      <sz val="10"/>
      <name val="Arial"/>
    </font>
    <font>
      <b/>
      <sz val="14"/>
      <color indexed="9"/>
      <name val="Arial"/>
      <family val="2"/>
    </font>
    <font>
      <i/>
      <sz val="10"/>
      <color indexed="10"/>
      <name val="Arial"/>
    </font>
    <font>
      <i/>
      <sz val="10"/>
      <color indexed="18"/>
      <name val="Arial"/>
    </font>
    <font>
      <b/>
      <sz val="14"/>
      <color indexed="18"/>
      <name val="Arial"/>
      <family val="2"/>
    </font>
    <font>
      <sz val="8"/>
      <color indexed="81"/>
      <name val="Tahoma"/>
      <family val="2"/>
    </font>
    <font>
      <b/>
      <sz val="14"/>
      <color indexed="18"/>
      <name val="Arial"/>
    </font>
    <font>
      <b/>
      <sz val="8"/>
      <color indexed="10"/>
      <name val="Arial"/>
      <family val="2"/>
    </font>
    <font>
      <b/>
      <sz val="14"/>
      <color indexed="10"/>
      <name val="Arial"/>
      <family val="2"/>
    </font>
    <font>
      <b/>
      <i/>
      <sz val="8"/>
      <name val="Arial"/>
      <family val="2"/>
    </font>
    <font>
      <b/>
      <sz val="8"/>
      <name val="Arial"/>
    </font>
    <font>
      <sz val="8"/>
      <color indexed="81"/>
      <name val="Tahoma"/>
    </font>
    <font>
      <b/>
      <sz val="8"/>
      <color rgb="FF0070C0"/>
      <name val="Arial"/>
      <family val="2"/>
    </font>
    <font>
      <b/>
      <sz val="10"/>
      <color rgb="FFFF0000"/>
      <name val="Arial"/>
      <family val="2"/>
    </font>
    <font>
      <b/>
      <sz val="12"/>
      <color rgb="FFFF0000"/>
      <name val="Arial"/>
      <family val="2"/>
    </font>
    <font>
      <b/>
      <sz val="10"/>
      <color theme="0"/>
      <name val="Arial"/>
      <family val="2"/>
    </font>
    <font>
      <i/>
      <sz val="9"/>
      <color indexed="18"/>
      <name val="Arial"/>
      <family val="2"/>
    </font>
  </fonts>
  <fills count="11">
    <fill>
      <patternFill patternType="none"/>
    </fill>
    <fill>
      <patternFill patternType="gray125"/>
    </fill>
    <fill>
      <patternFill patternType="solid">
        <fgColor indexed="47"/>
        <bgColor indexed="64"/>
      </patternFill>
    </fill>
    <fill>
      <patternFill patternType="solid">
        <fgColor indexed="43"/>
        <bgColor indexed="64"/>
      </patternFill>
    </fill>
    <fill>
      <patternFill patternType="solid">
        <fgColor indexed="42"/>
        <bgColor indexed="64"/>
      </patternFill>
    </fill>
    <fill>
      <patternFill patternType="solid">
        <fgColor indexed="46"/>
        <bgColor indexed="64"/>
      </patternFill>
    </fill>
    <fill>
      <patternFill patternType="solid">
        <fgColor indexed="44"/>
        <bgColor indexed="64"/>
      </patternFill>
    </fill>
    <fill>
      <patternFill patternType="solid">
        <fgColor indexed="8"/>
        <bgColor indexed="64"/>
      </patternFill>
    </fill>
    <fill>
      <patternFill patternType="solid">
        <fgColor indexed="51"/>
        <bgColor indexed="64"/>
      </patternFill>
    </fill>
    <fill>
      <patternFill patternType="solid">
        <fgColor indexed="13"/>
        <bgColor indexed="64"/>
      </patternFill>
    </fill>
    <fill>
      <patternFill patternType="solid">
        <fgColor rgb="FFFF0000"/>
        <bgColor indexed="64"/>
      </patternFill>
    </fill>
  </fills>
  <borders count="14">
    <border>
      <left/>
      <right/>
      <top/>
      <bottom/>
      <diagonal/>
    </border>
    <border>
      <left/>
      <right/>
      <top/>
      <bottom style="medium">
        <color indexed="64"/>
      </bottom>
      <diagonal/>
    </border>
    <border>
      <left style="thick">
        <color indexed="57"/>
      </left>
      <right/>
      <top/>
      <bottom/>
      <diagonal/>
    </border>
    <border>
      <left style="thick">
        <color indexed="17"/>
      </left>
      <right/>
      <top/>
      <bottom/>
      <diagonal/>
    </border>
    <border>
      <left/>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s>
  <cellStyleXfs count="2">
    <xf numFmtId="0" fontId="0" fillId="0" borderId="0"/>
    <xf numFmtId="9" fontId="1" fillId="0" borderId="0" applyFont="0" applyFill="0" applyBorder="0" applyAlignment="0" applyProtection="0"/>
  </cellStyleXfs>
  <cellXfs count="278">
    <xf numFmtId="0" fontId="0" fillId="0" borderId="0" xfId="0"/>
    <xf numFmtId="0" fontId="2" fillId="0" borderId="0" xfId="0" applyFont="1"/>
    <xf numFmtId="0" fontId="0" fillId="0" borderId="1" xfId="0" applyBorder="1"/>
    <xf numFmtId="3" fontId="0" fillId="2" borderId="0" xfId="0" applyNumberFormat="1" applyFill="1"/>
    <xf numFmtId="3" fontId="0" fillId="2" borderId="1" xfId="0" applyNumberFormat="1" applyFill="1" applyBorder="1"/>
    <xf numFmtId="3" fontId="0" fillId="2" borderId="0" xfId="0" applyNumberFormat="1" applyFill="1" applyBorder="1"/>
    <xf numFmtId="3" fontId="0" fillId="3" borderId="0" xfId="0" applyNumberFormat="1" applyFill="1" applyBorder="1"/>
    <xf numFmtId="0" fontId="0" fillId="4" borderId="0" xfId="0" applyFill="1" applyBorder="1"/>
    <xf numFmtId="0" fontId="0" fillId="3" borderId="0" xfId="0" applyFill="1" applyBorder="1"/>
    <xf numFmtId="0" fontId="2" fillId="0" borderId="0" xfId="0" applyFont="1" applyAlignment="1">
      <alignment horizontal="center"/>
    </xf>
    <xf numFmtId="0" fontId="0" fillId="0" borderId="0" xfId="0" applyBorder="1"/>
    <xf numFmtId="0" fontId="2" fillId="0" borderId="0" xfId="0" applyFont="1" applyBorder="1"/>
    <xf numFmtId="0" fontId="0" fillId="5" borderId="0" xfId="0" applyFill="1" applyBorder="1"/>
    <xf numFmtId="3" fontId="0" fillId="5" borderId="0" xfId="0" applyNumberFormat="1" applyFill="1" applyBorder="1"/>
    <xf numFmtId="0" fontId="0" fillId="6" borderId="0" xfId="0" applyFill="1" applyBorder="1"/>
    <xf numFmtId="3" fontId="0" fillId="6" borderId="0" xfId="0" applyNumberFormat="1" applyFill="1" applyBorder="1"/>
    <xf numFmtId="3" fontId="0" fillId="4" borderId="0" xfId="0" applyNumberFormat="1" applyFill="1" applyBorder="1"/>
    <xf numFmtId="0" fontId="0" fillId="2" borderId="0" xfId="0" applyFill="1" applyBorder="1"/>
    <xf numFmtId="0" fontId="0" fillId="0" borderId="0" xfId="0" applyFill="1"/>
    <xf numFmtId="3" fontId="0" fillId="0" borderId="0" xfId="0" applyNumberFormat="1" applyFill="1" applyBorder="1"/>
    <xf numFmtId="0" fontId="0" fillId="0" borderId="0" xfId="0" applyFill="1" applyBorder="1"/>
    <xf numFmtId="0" fontId="7" fillId="0" borderId="0" xfId="0" applyFont="1" applyBorder="1"/>
    <xf numFmtId="0" fontId="10" fillId="0" borderId="0" xfId="0" applyFont="1" applyFill="1" applyBorder="1"/>
    <xf numFmtId="3" fontId="2" fillId="0" borderId="1" xfId="0" applyNumberFormat="1" applyFont="1" applyBorder="1" applyAlignment="1">
      <alignment horizontal="right"/>
    </xf>
    <xf numFmtId="3" fontId="9" fillId="7" borderId="1" xfId="0" applyNumberFormat="1" applyFont="1" applyFill="1" applyBorder="1" applyAlignment="1">
      <alignment horizontal="right"/>
    </xf>
    <xf numFmtId="0" fontId="11" fillId="0" borderId="0" xfId="0" applyFont="1" applyBorder="1" applyAlignment="1">
      <alignment horizontal="right"/>
    </xf>
    <xf numFmtId="3" fontId="11" fillId="0" borderId="0" xfId="0" applyNumberFormat="1" applyFont="1" applyBorder="1"/>
    <xf numFmtId="0" fontId="2" fillId="5" borderId="0" xfId="0" applyFont="1" applyFill="1" applyBorder="1"/>
    <xf numFmtId="0" fontId="2" fillId="6" borderId="0" xfId="0" applyFont="1" applyFill="1" applyBorder="1"/>
    <xf numFmtId="0" fontId="2" fillId="3" borderId="0" xfId="0" applyFont="1" applyFill="1" applyBorder="1"/>
    <xf numFmtId="0" fontId="2" fillId="4" borderId="0" xfId="0" applyFont="1" applyFill="1" applyBorder="1"/>
    <xf numFmtId="0" fontId="3" fillId="2" borderId="0" xfId="0" applyFont="1" applyFill="1" applyAlignment="1">
      <alignment horizontal="right"/>
    </xf>
    <xf numFmtId="9" fontId="12" fillId="0" borderId="0" xfId="1" applyFont="1" applyFill="1"/>
    <xf numFmtId="3" fontId="5" fillId="5" borderId="0" xfId="0" applyNumberFormat="1" applyFont="1" applyFill="1"/>
    <xf numFmtId="3" fontId="5" fillId="6" borderId="0" xfId="0" applyNumberFormat="1" applyFont="1" applyFill="1"/>
    <xf numFmtId="3" fontId="5" fillId="3" borderId="0" xfId="0" applyNumberFormat="1" applyFont="1" applyFill="1"/>
    <xf numFmtId="3" fontId="5" fillId="4" borderId="0" xfId="0" applyNumberFormat="1" applyFont="1" applyFill="1"/>
    <xf numFmtId="0" fontId="2" fillId="0" borderId="0" xfId="0" applyFont="1" applyBorder="1" applyAlignment="1">
      <alignment horizontal="center"/>
    </xf>
    <xf numFmtId="0" fontId="1" fillId="0" borderId="0" xfId="0" applyFont="1" applyFill="1" applyBorder="1"/>
    <xf numFmtId="0" fontId="3" fillId="0" borderId="0" xfId="0" applyFont="1" applyFill="1" applyAlignment="1">
      <alignment horizontal="right"/>
    </xf>
    <xf numFmtId="0" fontId="2" fillId="0" borderId="0" xfId="0" applyFont="1" applyFill="1" applyBorder="1"/>
    <xf numFmtId="3" fontId="5" fillId="0" borderId="0" xfId="0" applyNumberFormat="1" applyFont="1" applyFill="1" applyBorder="1"/>
    <xf numFmtId="3" fontId="5" fillId="0" borderId="0" xfId="0" applyNumberFormat="1" applyFont="1" applyFill="1" applyBorder="1" applyAlignment="1">
      <alignment horizontal="right"/>
    </xf>
    <xf numFmtId="3" fontId="5" fillId="5" borderId="0" xfId="0" applyNumberFormat="1" applyFont="1" applyFill="1" applyBorder="1"/>
    <xf numFmtId="3" fontId="5" fillId="6" borderId="0" xfId="0" applyNumberFormat="1" applyFont="1" applyFill="1" applyBorder="1"/>
    <xf numFmtId="3" fontId="5" fillId="3" borderId="0" xfId="0" applyNumberFormat="1" applyFont="1" applyFill="1" applyBorder="1"/>
    <xf numFmtId="3" fontId="5" fillId="4" borderId="0" xfId="0" applyNumberFormat="1" applyFont="1" applyFill="1" applyBorder="1"/>
    <xf numFmtId="0" fontId="13" fillId="0" borderId="0" xfId="0" applyFont="1" applyAlignment="1">
      <alignment horizontal="left"/>
    </xf>
    <xf numFmtId="0" fontId="3" fillId="0" borderId="0" xfId="0" applyFont="1"/>
    <xf numFmtId="0" fontId="14" fillId="0" borderId="1" xfId="0" applyFont="1" applyBorder="1"/>
    <xf numFmtId="0" fontId="15" fillId="0" borderId="1" xfId="0" applyFont="1" applyBorder="1"/>
    <xf numFmtId="0" fontId="15" fillId="0" borderId="0" xfId="0" applyFont="1" applyFill="1" applyBorder="1"/>
    <xf numFmtId="3" fontId="15" fillId="0" borderId="0" xfId="0" applyNumberFormat="1" applyFont="1" applyFill="1" applyBorder="1"/>
    <xf numFmtId="1" fontId="5" fillId="4" borderId="1" xfId="0" applyNumberFormat="1" applyFont="1" applyFill="1" applyBorder="1"/>
    <xf numFmtId="3" fontId="5" fillId="4" borderId="1" xfId="0" applyNumberFormat="1" applyFont="1" applyFill="1" applyBorder="1"/>
    <xf numFmtId="3" fontId="0" fillId="0" borderId="0" xfId="0" applyNumberFormat="1" applyBorder="1"/>
    <xf numFmtId="9" fontId="6" fillId="8" borderId="0" xfId="1" applyFont="1" applyFill="1" applyBorder="1"/>
    <xf numFmtId="3" fontId="0" fillId="8" borderId="0" xfId="0" applyNumberFormat="1" applyFill="1" applyBorder="1"/>
    <xf numFmtId="0" fontId="0" fillId="8" borderId="0" xfId="0" applyFill="1" applyBorder="1"/>
    <xf numFmtId="49" fontId="17" fillId="0" borderId="0" xfId="0" applyNumberFormat="1" applyFont="1" applyAlignment="1">
      <alignment horizontal="right"/>
    </xf>
    <xf numFmtId="0" fontId="5" fillId="2" borderId="0" xfId="0" applyFont="1" applyFill="1" applyAlignment="1">
      <alignment horizontal="left"/>
    </xf>
    <xf numFmtId="0" fontId="5" fillId="0" borderId="0" xfId="0" applyFont="1" applyFill="1" applyAlignment="1">
      <alignment horizontal="left"/>
    </xf>
    <xf numFmtId="3" fontId="15" fillId="2" borderId="0" xfId="0" applyNumberFormat="1" applyFont="1" applyFill="1" applyBorder="1"/>
    <xf numFmtId="0" fontId="2" fillId="0" borderId="0" xfId="0" applyFont="1" applyFill="1"/>
    <xf numFmtId="49" fontId="17" fillId="0" borderId="0" xfId="0" applyNumberFormat="1" applyFont="1" applyFill="1" applyAlignment="1">
      <alignment horizontal="right"/>
    </xf>
    <xf numFmtId="3" fontId="0" fillId="0" borderId="0" xfId="0" applyNumberFormat="1" applyFill="1"/>
    <xf numFmtId="0" fontId="7" fillId="0" borderId="0" xfId="0" applyFont="1"/>
    <xf numFmtId="3" fontId="5" fillId="2" borderId="0" xfId="0" applyNumberFormat="1" applyFont="1" applyFill="1" applyBorder="1" applyAlignment="1">
      <alignment horizontal="right"/>
    </xf>
    <xf numFmtId="0" fontId="14" fillId="2" borderId="0" xfId="0" applyFont="1" applyFill="1" applyAlignment="1">
      <alignment horizontal="left"/>
    </xf>
    <xf numFmtId="2" fontId="15" fillId="0" borderId="0" xfId="0" applyNumberFormat="1" applyFont="1" applyFill="1" applyBorder="1"/>
    <xf numFmtId="0" fontId="9" fillId="0" borderId="2" xfId="0" applyFont="1" applyBorder="1" applyAlignment="1">
      <alignment horizontal="right"/>
    </xf>
    <xf numFmtId="0" fontId="20" fillId="0" borderId="2" xfId="0" applyFont="1" applyBorder="1" applyAlignment="1">
      <alignment horizontal="center"/>
    </xf>
    <xf numFmtId="9" fontId="21" fillId="0" borderId="2" xfId="1" applyFont="1" applyBorder="1" applyAlignment="1">
      <alignment horizontal="center"/>
    </xf>
    <xf numFmtId="3" fontId="5" fillId="0" borderId="3" xfId="0" applyNumberFormat="1" applyFont="1" applyFill="1" applyBorder="1"/>
    <xf numFmtId="0" fontId="22" fillId="0" borderId="0" xfId="0" applyFont="1" applyAlignment="1">
      <alignment horizontal="right"/>
    </xf>
    <xf numFmtId="9" fontId="22" fillId="0" borderId="0" xfId="1" applyFont="1"/>
    <xf numFmtId="0" fontId="23" fillId="0" borderId="0" xfId="0" applyFont="1" applyAlignment="1">
      <alignment horizontal="right"/>
    </xf>
    <xf numFmtId="0" fontId="23" fillId="0" borderId="2" xfId="0" applyFont="1" applyBorder="1"/>
    <xf numFmtId="3" fontId="3" fillId="0" borderId="0" xfId="0" applyNumberFormat="1" applyFont="1"/>
    <xf numFmtId="166" fontId="0" fillId="0" borderId="0" xfId="0" applyNumberFormat="1" applyBorder="1"/>
    <xf numFmtId="0" fontId="24" fillId="0" borderId="0" xfId="0" applyFont="1"/>
    <xf numFmtId="3" fontId="0" fillId="0" borderId="0" xfId="0" applyNumberFormat="1"/>
    <xf numFmtId="3" fontId="2" fillId="0" borderId="0" xfId="0" applyNumberFormat="1" applyFont="1" applyBorder="1"/>
    <xf numFmtId="9" fontId="0" fillId="0" borderId="0" xfId="1" applyFont="1"/>
    <xf numFmtId="166" fontId="0" fillId="0" borderId="0" xfId="1" applyNumberFormat="1" applyFont="1"/>
    <xf numFmtId="3" fontId="0" fillId="2" borderId="0" xfId="0" applyNumberFormat="1" applyFill="1" applyAlignment="1">
      <alignment horizontal="right"/>
    </xf>
    <xf numFmtId="0" fontId="5" fillId="2" borderId="0" xfId="0" applyFont="1" applyFill="1" applyBorder="1"/>
    <xf numFmtId="0" fontId="2" fillId="2" borderId="0" xfId="0" applyFont="1" applyFill="1" applyBorder="1" applyAlignment="1">
      <alignment horizontal="center"/>
    </xf>
    <xf numFmtId="9" fontId="5" fillId="2" borderId="0" xfId="1" applyFont="1" applyFill="1" applyBorder="1" applyAlignment="1">
      <alignment horizontal="right"/>
    </xf>
    <xf numFmtId="3" fontId="5" fillId="4" borderId="0" xfId="0" applyNumberFormat="1" applyFont="1" applyFill="1" applyBorder="1" applyAlignment="1">
      <alignment horizontal="right"/>
    </xf>
    <xf numFmtId="0" fontId="19" fillId="0" borderId="0" xfId="0" applyFont="1" applyBorder="1" applyAlignment="1">
      <alignment horizontal="center"/>
    </xf>
    <xf numFmtId="1" fontId="0" fillId="2" borderId="0" xfId="0" applyNumberFormat="1" applyFill="1" applyBorder="1"/>
    <xf numFmtId="1" fontId="5" fillId="5" borderId="0" xfId="0" applyNumberFormat="1" applyFont="1" applyFill="1" applyBorder="1"/>
    <xf numFmtId="0" fontId="3" fillId="0" borderId="0" xfId="0" applyFont="1" applyAlignment="1">
      <alignment horizontal="center"/>
    </xf>
    <xf numFmtId="1" fontId="15" fillId="5" borderId="0" xfId="0" applyNumberFormat="1" applyFont="1" applyFill="1" applyBorder="1" applyAlignment="1">
      <alignment horizontal="center"/>
    </xf>
    <xf numFmtId="0" fontId="15" fillId="6" borderId="0" xfId="0" applyFont="1" applyFill="1" applyBorder="1" applyAlignment="1">
      <alignment horizontal="center"/>
    </xf>
    <xf numFmtId="0" fontId="15" fillId="3" borderId="0" xfId="0" applyFont="1" applyFill="1" applyBorder="1" applyAlignment="1">
      <alignment horizontal="center"/>
    </xf>
    <xf numFmtId="0" fontId="6" fillId="0" borderId="0" xfId="0" applyFont="1" applyFill="1" applyBorder="1" applyAlignment="1">
      <alignment horizontal="center"/>
    </xf>
    <xf numFmtId="9" fontId="3" fillId="0" borderId="0" xfId="1" applyFont="1"/>
    <xf numFmtId="9" fontId="3" fillId="0" borderId="0" xfId="0" applyNumberFormat="1" applyFont="1"/>
    <xf numFmtId="0" fontId="14" fillId="0" borderId="0" xfId="0" applyFont="1" applyAlignment="1">
      <alignment horizontal="center"/>
    </xf>
    <xf numFmtId="49" fontId="17" fillId="0" borderId="0" xfId="0" applyNumberFormat="1" applyFont="1" applyAlignment="1">
      <alignment horizontal="left"/>
    </xf>
    <xf numFmtId="9" fontId="25" fillId="0" borderId="0" xfId="0" applyNumberFormat="1" applyFont="1" applyFill="1"/>
    <xf numFmtId="3" fontId="26" fillId="0" borderId="0" xfId="0" applyNumberFormat="1" applyFont="1" applyFill="1"/>
    <xf numFmtId="1" fontId="2" fillId="0" borderId="0" xfId="0" applyNumberFormat="1" applyFont="1" applyAlignment="1">
      <alignment horizontal="center"/>
    </xf>
    <xf numFmtId="3" fontId="5" fillId="2" borderId="0" xfId="0" applyNumberFormat="1" applyFont="1" applyFill="1" applyAlignment="1">
      <alignment horizontal="left"/>
    </xf>
    <xf numFmtId="0" fontId="28" fillId="0" borderId="0" xfId="0" applyFont="1" applyBorder="1"/>
    <xf numFmtId="0" fontId="11" fillId="0" borderId="1" xfId="0" applyFont="1" applyBorder="1" applyAlignment="1">
      <alignment horizontal="right"/>
    </xf>
    <xf numFmtId="0" fontId="29" fillId="0" borderId="0" xfId="0" applyFont="1" applyFill="1" applyBorder="1"/>
    <xf numFmtId="0" fontId="11" fillId="0" borderId="1" xfId="0" applyFont="1" applyBorder="1"/>
    <xf numFmtId="0" fontId="11" fillId="0" borderId="0" xfId="0" applyFont="1" applyBorder="1"/>
    <xf numFmtId="0" fontId="30" fillId="0" borderId="0" xfId="0" applyFont="1" applyBorder="1"/>
    <xf numFmtId="0" fontId="0" fillId="0" borderId="0" xfId="0" applyBorder="1" applyAlignment="1">
      <alignment horizontal="right"/>
    </xf>
    <xf numFmtId="0" fontId="6" fillId="0" borderId="0" xfId="0" applyFont="1" applyBorder="1" applyAlignment="1">
      <alignment horizontal="right"/>
    </xf>
    <xf numFmtId="165" fontId="4" fillId="0" borderId="0" xfId="0" applyNumberFormat="1" applyFont="1" applyFill="1" applyBorder="1" applyAlignment="1">
      <alignment horizontal="right"/>
    </xf>
    <xf numFmtId="9" fontId="15" fillId="2" borderId="0" xfId="1" applyFont="1" applyFill="1" applyBorder="1" applyAlignment="1">
      <alignment horizontal="right"/>
    </xf>
    <xf numFmtId="3" fontId="6" fillId="0" borderId="0" xfId="0" applyNumberFormat="1" applyFont="1" applyBorder="1" applyAlignment="1">
      <alignment horizontal="right"/>
    </xf>
    <xf numFmtId="1" fontId="18" fillId="0" borderId="0" xfId="0" applyNumberFormat="1" applyFont="1" applyBorder="1" applyAlignment="1">
      <alignment horizontal="right"/>
    </xf>
    <xf numFmtId="0" fontId="2" fillId="0" borderId="0" xfId="0" applyFont="1" applyFill="1" applyBorder="1" applyAlignment="1">
      <alignment horizontal="center"/>
    </xf>
    <xf numFmtId="0" fontId="5" fillId="0" borderId="0" xfId="0" applyFont="1" applyFill="1" applyBorder="1"/>
    <xf numFmtId="0" fontId="5" fillId="2" borderId="4" xfId="0" applyFont="1" applyFill="1" applyBorder="1"/>
    <xf numFmtId="166" fontId="3" fillId="2" borderId="0" xfId="1" applyNumberFormat="1" applyFont="1" applyFill="1" applyBorder="1"/>
    <xf numFmtId="0" fontId="3" fillId="2" borderId="0" xfId="0" applyFont="1" applyFill="1"/>
    <xf numFmtId="9" fontId="3" fillId="2" borderId="4" xfId="1" applyNumberFormat="1" applyFont="1" applyFill="1" applyBorder="1"/>
    <xf numFmtId="9" fontId="3" fillId="2" borderId="0" xfId="1" applyNumberFormat="1" applyFont="1" applyFill="1" applyBorder="1"/>
    <xf numFmtId="3" fontId="5" fillId="2" borderId="4" xfId="0" applyNumberFormat="1" applyFont="1" applyFill="1" applyBorder="1" applyAlignment="1">
      <alignment horizontal="right"/>
    </xf>
    <xf numFmtId="9" fontId="3" fillId="4" borderId="0" xfId="1" applyNumberFormat="1" applyFont="1" applyFill="1" applyBorder="1"/>
    <xf numFmtId="0" fontId="3" fillId="4" borderId="0" xfId="0" applyFont="1" applyFill="1"/>
    <xf numFmtId="0" fontId="0" fillId="2" borderId="0" xfId="0" applyFill="1"/>
    <xf numFmtId="0" fontId="0" fillId="2" borderId="4" xfId="0" applyFill="1" applyBorder="1"/>
    <xf numFmtId="166" fontId="3" fillId="4" borderId="0" xfId="1" applyNumberFormat="1" applyFont="1" applyFill="1" applyBorder="1"/>
    <xf numFmtId="0" fontId="0" fillId="4" borderId="0" xfId="0" applyFill="1"/>
    <xf numFmtId="3" fontId="5" fillId="4" borderId="4" xfId="0" applyNumberFormat="1" applyFont="1" applyFill="1" applyBorder="1" applyAlignment="1">
      <alignment horizontal="right"/>
    </xf>
    <xf numFmtId="0" fontId="0" fillId="4" borderId="4" xfId="0" applyFill="1" applyBorder="1"/>
    <xf numFmtId="9" fontId="3" fillId="4" borderId="4" xfId="1" applyNumberFormat="1" applyFont="1" applyFill="1" applyBorder="1"/>
    <xf numFmtId="0" fontId="3" fillId="4" borderId="4" xfId="0" applyFont="1" applyFill="1" applyBorder="1"/>
    <xf numFmtId="0" fontId="15" fillId="0" borderId="0" xfId="0" applyFont="1" applyAlignment="1">
      <alignment horizontal="left"/>
    </xf>
    <xf numFmtId="3" fontId="3" fillId="0" borderId="4" xfId="0" applyNumberFormat="1" applyFont="1" applyBorder="1"/>
    <xf numFmtId="0" fontId="14" fillId="0" borderId="0" xfId="0" applyFont="1" applyBorder="1"/>
    <xf numFmtId="3" fontId="14" fillId="0" borderId="0" xfId="0" applyNumberFormat="1" applyFont="1"/>
    <xf numFmtId="0" fontId="14" fillId="0" borderId="0" xfId="0" applyFont="1"/>
    <xf numFmtId="9" fontId="14" fillId="0" borderId="0" xfId="1" applyFont="1"/>
    <xf numFmtId="3" fontId="3" fillId="0" borderId="0" xfId="0" applyNumberFormat="1" applyFont="1" applyFill="1" applyAlignment="1">
      <alignment horizontal="left"/>
    </xf>
    <xf numFmtId="0" fontId="15" fillId="0" borderId="5" xfId="0" applyFont="1" applyBorder="1"/>
    <xf numFmtId="0" fontId="14" fillId="0" borderId="7" xfId="0" applyFont="1" applyBorder="1"/>
    <xf numFmtId="9" fontId="14" fillId="0" borderId="8" xfId="0" applyNumberFormat="1" applyFont="1" applyBorder="1" applyAlignment="1">
      <alignment horizontal="left"/>
    </xf>
    <xf numFmtId="9" fontId="6" fillId="2" borderId="0" xfId="1" applyFont="1" applyFill="1" applyBorder="1"/>
    <xf numFmtId="3" fontId="1" fillId="5" borderId="0" xfId="0" applyNumberFormat="1" applyFont="1" applyFill="1" applyBorder="1"/>
    <xf numFmtId="3" fontId="1" fillId="6" borderId="0" xfId="0" applyNumberFormat="1" applyFont="1" applyFill="1" applyBorder="1"/>
    <xf numFmtId="3" fontId="1" fillId="3" borderId="0" xfId="0" applyNumberFormat="1" applyFont="1" applyFill="1" applyBorder="1"/>
    <xf numFmtId="3" fontId="1" fillId="4" borderId="0" xfId="0" applyNumberFormat="1" applyFont="1" applyFill="1" applyBorder="1"/>
    <xf numFmtId="3" fontId="32" fillId="2" borderId="0" xfId="0" applyNumberFormat="1" applyFont="1" applyFill="1" applyBorder="1"/>
    <xf numFmtId="3" fontId="2" fillId="8" borderId="0" xfId="0" applyNumberFormat="1" applyFont="1" applyFill="1" applyBorder="1"/>
    <xf numFmtId="3" fontId="2" fillId="2" borderId="0" xfId="0" applyNumberFormat="1" applyFont="1" applyFill="1" applyBorder="1"/>
    <xf numFmtId="0" fontId="33" fillId="7" borderId="9" xfId="0" applyFont="1" applyFill="1" applyBorder="1" applyAlignment="1">
      <alignment horizontal="center"/>
    </xf>
    <xf numFmtId="3" fontId="33" fillId="7" borderId="10" xfId="0" applyNumberFormat="1" applyFont="1" applyFill="1" applyBorder="1" applyAlignment="1">
      <alignment horizontal="center"/>
    </xf>
    <xf numFmtId="3" fontId="33" fillId="7" borderId="11" xfId="0" applyNumberFormat="1" applyFont="1" applyFill="1" applyBorder="1" applyAlignment="1">
      <alignment horizontal="center"/>
    </xf>
    <xf numFmtId="0" fontId="5" fillId="0" borderId="0" xfId="0" applyFont="1" applyBorder="1"/>
    <xf numFmtId="0" fontId="5" fillId="3" borderId="0" xfId="0" applyFont="1" applyFill="1" applyBorder="1"/>
    <xf numFmtId="3" fontId="5" fillId="2" borderId="0" xfId="0" applyNumberFormat="1" applyFont="1" applyFill="1" applyBorder="1"/>
    <xf numFmtId="0" fontId="5" fillId="8" borderId="0" xfId="0" applyFont="1" applyFill="1" applyBorder="1"/>
    <xf numFmtId="1" fontId="2" fillId="4" borderId="0" xfId="0" applyNumberFormat="1" applyFont="1" applyFill="1" applyBorder="1"/>
    <xf numFmtId="0" fontId="5" fillId="0" borderId="1" xfId="0" applyFont="1" applyBorder="1"/>
    <xf numFmtId="9" fontId="34" fillId="5" borderId="0" xfId="1" applyFont="1" applyFill="1" applyBorder="1"/>
    <xf numFmtId="9" fontId="34" fillId="6" borderId="0" xfId="1" applyFont="1" applyFill="1" applyBorder="1"/>
    <xf numFmtId="9" fontId="34" fillId="3" borderId="0" xfId="1" applyFont="1" applyFill="1" applyBorder="1"/>
    <xf numFmtId="9" fontId="34" fillId="4" borderId="0" xfId="1" applyFont="1" applyFill="1" applyBorder="1"/>
    <xf numFmtId="9" fontId="34" fillId="2" borderId="0" xfId="1" applyFont="1" applyFill="1" applyBorder="1"/>
    <xf numFmtId="3" fontId="1" fillId="2" borderId="0" xfId="0" applyNumberFormat="1" applyFont="1" applyFill="1" applyBorder="1"/>
    <xf numFmtId="9" fontId="18" fillId="5" borderId="0" xfId="1" applyFont="1" applyFill="1" applyBorder="1"/>
    <xf numFmtId="9" fontId="18" fillId="6" borderId="0" xfId="1" applyFont="1" applyFill="1" applyBorder="1"/>
    <xf numFmtId="9" fontId="18" fillId="3" borderId="0" xfId="1" applyFont="1" applyFill="1" applyBorder="1"/>
    <xf numFmtId="9" fontId="18" fillId="4" borderId="0" xfId="1" applyFont="1" applyFill="1" applyBorder="1"/>
    <xf numFmtId="9" fontId="18" fillId="2" borderId="0" xfId="1" applyFont="1" applyFill="1" applyBorder="1"/>
    <xf numFmtId="3" fontId="1" fillId="2" borderId="0" xfId="0" applyNumberFormat="1" applyFont="1" applyFill="1"/>
    <xf numFmtId="3" fontId="1" fillId="0" borderId="0" xfId="0" applyNumberFormat="1" applyFont="1" applyFill="1"/>
    <xf numFmtId="3" fontId="1" fillId="2" borderId="1" xfId="0" applyNumberFormat="1" applyFont="1" applyFill="1" applyBorder="1"/>
    <xf numFmtId="3" fontId="16" fillId="0" borderId="0" xfId="0" applyNumberFormat="1" applyFont="1"/>
    <xf numFmtId="0" fontId="35" fillId="0" borderId="0" xfId="0" applyFont="1" applyFill="1" applyAlignment="1">
      <alignment horizontal="right"/>
    </xf>
    <xf numFmtId="3" fontId="35" fillId="0" borderId="0" xfId="0" applyNumberFormat="1" applyFont="1" applyAlignment="1">
      <alignment horizontal="left"/>
    </xf>
    <xf numFmtId="0" fontId="1" fillId="0" borderId="0" xfId="0" applyFont="1"/>
    <xf numFmtId="0" fontId="1" fillId="0" borderId="0" xfId="0" applyFont="1" applyFill="1"/>
    <xf numFmtId="0" fontId="8" fillId="0" borderId="0" xfId="0" applyFont="1" applyBorder="1" applyAlignment="1">
      <alignment horizontal="center"/>
    </xf>
    <xf numFmtId="0" fontId="8" fillId="0" borderId="0" xfId="0" applyFont="1" applyFill="1" applyBorder="1" applyAlignment="1">
      <alignment horizontal="center"/>
    </xf>
    <xf numFmtId="165" fontId="26" fillId="5" borderId="0" xfId="0" applyNumberFormat="1" applyFont="1" applyFill="1" applyBorder="1"/>
    <xf numFmtId="165" fontId="26" fillId="0" borderId="0" xfId="0" applyNumberFormat="1" applyFont="1" applyFill="1" applyBorder="1"/>
    <xf numFmtId="165" fontId="26" fillId="6" borderId="0" xfId="0" applyNumberFormat="1" applyFont="1" applyFill="1" applyBorder="1"/>
    <xf numFmtId="165" fontId="26" fillId="3" borderId="0" xfId="0" applyNumberFormat="1" applyFont="1" applyFill="1" applyBorder="1"/>
    <xf numFmtId="165" fontId="26" fillId="2" borderId="0" xfId="0" applyNumberFormat="1" applyFont="1" applyFill="1" applyBorder="1"/>
    <xf numFmtId="165" fontId="26" fillId="4" borderId="0" xfId="0" applyNumberFormat="1" applyFont="1" applyFill="1" applyBorder="1"/>
    <xf numFmtId="3" fontId="8" fillId="0" borderId="0" xfId="0" applyNumberFormat="1" applyFont="1" applyBorder="1"/>
    <xf numFmtId="3" fontId="8" fillId="0" borderId="0" xfId="0" applyNumberFormat="1" applyFont="1" applyFill="1" applyBorder="1"/>
    <xf numFmtId="0" fontId="30" fillId="0" borderId="0" xfId="0" applyFont="1"/>
    <xf numFmtId="1" fontId="30" fillId="0" borderId="0" xfId="0" applyNumberFormat="1" applyFont="1" applyFill="1"/>
    <xf numFmtId="165" fontId="26" fillId="4" borderId="1" xfId="0" applyNumberFormat="1" applyFont="1" applyFill="1" applyBorder="1"/>
    <xf numFmtId="3" fontId="36" fillId="0" borderId="0" xfId="0" applyNumberFormat="1" applyFont="1"/>
    <xf numFmtId="0" fontId="31" fillId="0" borderId="0" xfId="0" applyFont="1" applyFill="1" applyBorder="1"/>
    <xf numFmtId="0" fontId="4" fillId="0" borderId="0" xfId="0" applyFont="1"/>
    <xf numFmtId="0" fontId="28" fillId="0" borderId="0" xfId="0" applyFont="1"/>
    <xf numFmtId="0" fontId="5" fillId="0" borderId="0" xfId="0" applyFont="1" applyBorder="1" applyAlignment="1">
      <alignment horizontal="center"/>
    </xf>
    <xf numFmtId="0" fontId="31" fillId="0" borderId="0" xfId="0" applyFont="1" applyBorder="1" applyAlignment="1">
      <alignment horizontal="left"/>
    </xf>
    <xf numFmtId="9" fontId="31" fillId="0" borderId="0" xfId="1" applyFont="1" applyBorder="1" applyAlignment="1">
      <alignment horizontal="left"/>
    </xf>
    <xf numFmtId="9" fontId="14" fillId="0" borderId="0" xfId="0" applyNumberFormat="1" applyFont="1" applyBorder="1" applyAlignment="1">
      <alignment horizontal="left"/>
    </xf>
    <xf numFmtId="0" fontId="27" fillId="0" borderId="0" xfId="0" applyFont="1" applyBorder="1" applyAlignment="1">
      <alignment horizontal="center"/>
    </xf>
    <xf numFmtId="165" fontId="14" fillId="0" borderId="0" xfId="0" applyNumberFormat="1" applyFont="1" applyFill="1" applyBorder="1" applyAlignment="1">
      <alignment horizontal="center"/>
    </xf>
    <xf numFmtId="0" fontId="36" fillId="0" borderId="0" xfId="0" applyFont="1"/>
    <xf numFmtId="0" fontId="38" fillId="0" borderId="0" xfId="0" applyFont="1" applyBorder="1" applyAlignment="1">
      <alignment horizontal="right"/>
    </xf>
    <xf numFmtId="3" fontId="38" fillId="0" borderId="0" xfId="0" applyNumberFormat="1" applyFont="1" applyBorder="1" applyAlignment="1">
      <alignment horizontal="left"/>
    </xf>
    <xf numFmtId="166" fontId="12" fillId="2" borderId="0" xfId="1" applyNumberFormat="1" applyFont="1" applyFill="1"/>
    <xf numFmtId="166" fontId="15" fillId="0" borderId="0" xfId="1" applyNumberFormat="1" applyFont="1"/>
    <xf numFmtId="3" fontId="39" fillId="0" borderId="0" xfId="0" applyNumberFormat="1" applyFont="1"/>
    <xf numFmtId="3" fontId="15" fillId="0" borderId="4" xfId="0" applyNumberFormat="1" applyFont="1" applyBorder="1"/>
    <xf numFmtId="0" fontId="36" fillId="9" borderId="9" xfId="0" applyFont="1" applyFill="1" applyBorder="1"/>
    <xf numFmtId="0" fontId="0" fillId="9" borderId="10" xfId="0" applyFill="1" applyBorder="1" applyAlignment="1"/>
    <xf numFmtId="0" fontId="0" fillId="9" borderId="10" xfId="0" applyFill="1" applyBorder="1"/>
    <xf numFmtId="0" fontId="36" fillId="9" borderId="10" xfId="0" applyFont="1" applyFill="1" applyBorder="1"/>
    <xf numFmtId="0" fontId="0" fillId="9" borderId="11" xfId="0" applyFill="1" applyBorder="1"/>
    <xf numFmtId="3" fontId="14" fillId="0" borderId="1" xfId="0" applyNumberFormat="1" applyFont="1" applyBorder="1"/>
    <xf numFmtId="3" fontId="14" fillId="0" borderId="1" xfId="0" applyNumberFormat="1" applyFont="1" applyBorder="1" applyAlignment="1">
      <alignment horizontal="center"/>
    </xf>
    <xf numFmtId="3" fontId="15" fillId="0" borderId="0" xfId="0" applyNumberFormat="1" applyFont="1" applyBorder="1"/>
    <xf numFmtId="3" fontId="3" fillId="0" borderId="0" xfId="0" applyNumberFormat="1" applyFont="1" applyBorder="1"/>
    <xf numFmtId="3" fontId="39" fillId="0" borderId="0" xfId="0" applyNumberFormat="1" applyFont="1" applyBorder="1"/>
    <xf numFmtId="166" fontId="3" fillId="0" borderId="0" xfId="1" applyNumberFormat="1" applyFont="1" applyBorder="1"/>
    <xf numFmtId="0" fontId="24" fillId="0" borderId="0" xfId="0" applyFont="1" applyBorder="1"/>
    <xf numFmtId="165" fontId="14" fillId="0" borderId="0" xfId="0" applyNumberFormat="1" applyFont="1" applyFill="1" applyBorder="1" applyAlignment="1"/>
    <xf numFmtId="0" fontId="40" fillId="0" borderId="0" xfId="0" applyFont="1" applyAlignment="1">
      <alignment horizontal="right"/>
    </xf>
    <xf numFmtId="3" fontId="0" fillId="2" borderId="0" xfId="0" applyNumberFormat="1" applyFill="1" applyBorder="1" applyAlignment="1">
      <alignment horizontal="right"/>
    </xf>
    <xf numFmtId="3" fontId="3" fillId="2" borderId="0" xfId="0" applyNumberFormat="1" applyFont="1" applyFill="1" applyBorder="1"/>
    <xf numFmtId="3" fontId="3" fillId="0" borderId="0" xfId="0" applyNumberFormat="1" applyFont="1" applyFill="1" applyBorder="1"/>
    <xf numFmtId="9" fontId="3" fillId="0" borderId="0" xfId="1" applyFont="1" applyBorder="1"/>
    <xf numFmtId="166" fontId="3" fillId="0" borderId="4" xfId="1" applyNumberFormat="1" applyFont="1" applyBorder="1"/>
    <xf numFmtId="9" fontId="3" fillId="0" borderId="4" xfId="1" applyFont="1" applyBorder="1"/>
    <xf numFmtId="3" fontId="24" fillId="0" borderId="0" xfId="0" applyNumberFormat="1" applyFont="1" applyBorder="1"/>
    <xf numFmtId="3" fontId="41" fillId="0" borderId="0" xfId="0" applyNumberFormat="1" applyFont="1" applyBorder="1"/>
    <xf numFmtId="3" fontId="42" fillId="0" borderId="1" xfId="0" applyNumberFormat="1" applyFont="1" applyBorder="1" applyAlignment="1">
      <alignment horizontal="center"/>
    </xf>
    <xf numFmtId="0" fontId="41" fillId="0" borderId="0" xfId="0" applyFont="1"/>
    <xf numFmtId="9" fontId="24" fillId="0" borderId="0" xfId="1" applyFont="1"/>
    <xf numFmtId="4" fontId="3" fillId="0" borderId="0" xfId="0" applyNumberFormat="1" applyFont="1" applyBorder="1"/>
    <xf numFmtId="164" fontId="0" fillId="0" borderId="0" xfId="0" applyNumberFormat="1"/>
    <xf numFmtId="0" fontId="14" fillId="0" borderId="0" xfId="0" applyFont="1" applyAlignment="1">
      <alignment horizontal="right"/>
    </xf>
    <xf numFmtId="167" fontId="44" fillId="0" borderId="0" xfId="0" applyNumberFormat="1" applyFont="1"/>
    <xf numFmtId="9" fontId="5" fillId="0" borderId="0" xfId="1" applyFont="1" applyBorder="1" applyAlignment="1">
      <alignment horizontal="right"/>
    </xf>
    <xf numFmtId="0" fontId="39" fillId="0" borderId="6" xfId="0" applyFont="1" applyBorder="1" applyAlignment="1">
      <alignment horizontal="left"/>
    </xf>
    <xf numFmtId="9" fontId="39" fillId="0" borderId="6" xfId="1" applyFont="1" applyBorder="1" applyAlignment="1">
      <alignment horizontal="left"/>
    </xf>
    <xf numFmtId="165" fontId="39" fillId="0" borderId="0" xfId="0" applyNumberFormat="1" applyFont="1" applyFill="1" applyBorder="1"/>
    <xf numFmtId="0" fontId="39" fillId="0" borderId="0" xfId="0" applyFont="1" applyFill="1" applyBorder="1"/>
    <xf numFmtId="9" fontId="39" fillId="0" borderId="0" xfId="1" applyFont="1" applyFill="1" applyBorder="1"/>
    <xf numFmtId="9" fontId="39" fillId="0" borderId="0" xfId="1" applyFont="1" applyAlignment="1">
      <alignment horizontal="left"/>
    </xf>
    <xf numFmtId="3" fontId="6" fillId="2" borderId="0" xfId="0" applyNumberFormat="1" applyFont="1" applyFill="1"/>
    <xf numFmtId="3" fontId="6" fillId="2" borderId="1" xfId="0" applyNumberFormat="1" applyFont="1" applyFill="1" applyBorder="1"/>
    <xf numFmtId="0" fontId="40" fillId="9" borderId="10" xfId="0" applyFont="1" applyFill="1" applyBorder="1" applyAlignment="1">
      <alignment horizontal="center"/>
    </xf>
    <xf numFmtId="0" fontId="40" fillId="9" borderId="11" xfId="0" applyFont="1" applyFill="1" applyBorder="1" applyAlignment="1">
      <alignment horizontal="center"/>
    </xf>
    <xf numFmtId="0" fontId="2" fillId="0" borderId="12" xfId="0" applyFont="1" applyBorder="1" applyAlignment="1">
      <alignment horizontal="center"/>
    </xf>
    <xf numFmtId="0" fontId="5" fillId="0" borderId="13" xfId="0" applyFont="1" applyBorder="1" applyAlignment="1">
      <alignment horizontal="center"/>
    </xf>
    <xf numFmtId="0" fontId="6" fillId="0" borderId="0" xfId="0" applyFont="1" applyBorder="1" applyAlignment="1">
      <alignment horizontal="center"/>
    </xf>
    <xf numFmtId="0" fontId="5" fillId="5" borderId="0" xfId="0" applyFont="1" applyFill="1" applyBorder="1" applyAlignment="1">
      <alignment horizontal="center"/>
    </xf>
    <xf numFmtId="0" fontId="5" fillId="6" borderId="0" xfId="0" applyFont="1" applyFill="1" applyBorder="1" applyAlignment="1">
      <alignment horizontal="center"/>
    </xf>
    <xf numFmtId="0" fontId="5" fillId="4" borderId="0" xfId="0" applyFont="1" applyFill="1" applyBorder="1" applyAlignment="1">
      <alignment horizontal="center"/>
    </xf>
    <xf numFmtId="0" fontId="8" fillId="0" borderId="0" xfId="0" applyFont="1" applyBorder="1" applyAlignment="1">
      <alignment horizontal="center"/>
    </xf>
    <xf numFmtId="0" fontId="2" fillId="0" borderId="0" xfId="0" applyFont="1" applyBorder="1" applyAlignment="1">
      <alignment horizontal="center"/>
    </xf>
    <xf numFmtId="3" fontId="0" fillId="0" borderId="0" xfId="0" applyNumberFormat="1" applyAlignment="1">
      <alignment vertical="top"/>
    </xf>
    <xf numFmtId="0" fontId="0" fillId="0" borderId="0" xfId="0" applyAlignment="1">
      <alignment vertical="top"/>
    </xf>
    <xf numFmtId="167" fontId="3" fillId="0" borderId="0" xfId="0" applyNumberFormat="1" applyFont="1" applyBorder="1"/>
    <xf numFmtId="3" fontId="24" fillId="0" borderId="0" xfId="0" applyNumberFormat="1" applyFont="1"/>
    <xf numFmtId="0" fontId="5" fillId="4" borderId="0" xfId="0" applyFont="1" applyFill="1" applyBorder="1"/>
    <xf numFmtId="0" fontId="15" fillId="4" borderId="0" xfId="0" applyFont="1" applyFill="1"/>
    <xf numFmtId="9" fontId="23" fillId="0" borderId="0" xfId="0" applyNumberFormat="1" applyFont="1" applyAlignment="1">
      <alignment horizontal="left"/>
    </xf>
    <xf numFmtId="0" fontId="15" fillId="0" borderId="0" xfId="0" applyFont="1"/>
    <xf numFmtId="0" fontId="15" fillId="2" borderId="4" xfId="0" applyFont="1" applyFill="1" applyBorder="1"/>
    <xf numFmtId="0" fontId="15" fillId="2" borderId="0" xfId="0" applyFont="1" applyFill="1" applyAlignment="1">
      <alignment horizontal="right"/>
    </xf>
    <xf numFmtId="0" fontId="5" fillId="0" borderId="0" xfId="0" applyFont="1"/>
    <xf numFmtId="2" fontId="39" fillId="0" borderId="0" xfId="0" applyNumberFormat="1" applyFont="1" applyFill="1" applyBorder="1" applyAlignment="1">
      <alignment horizontal="right"/>
    </xf>
    <xf numFmtId="0" fontId="45" fillId="0" borderId="0" xfId="0" applyFont="1"/>
    <xf numFmtId="0" fontId="46" fillId="0" borderId="0" xfId="0" applyFont="1" applyAlignment="1">
      <alignment horizontal="right"/>
    </xf>
    <xf numFmtId="3" fontId="47" fillId="10" borderId="0" xfId="0" applyNumberFormat="1" applyFont="1" applyFill="1" applyBorder="1"/>
    <xf numFmtId="0" fontId="48" fillId="0" borderId="0" xfId="0" applyFont="1" applyAlignment="1">
      <alignment horizontal="right"/>
    </xf>
    <xf numFmtId="0" fontId="48" fillId="0" borderId="0" xfId="0" applyFont="1"/>
    <xf numFmtId="9" fontId="48" fillId="0" borderId="0" xfId="1" applyFont="1"/>
  </cellXfs>
  <cellStyles count="2">
    <cellStyle name="Normal" xfId="0" builtinId="0"/>
    <cellStyle name="Porcentaje" xfId="1" builtinId="5"/>
  </cellStyles>
  <dxfs count="1">
    <dxf>
      <font>
        <b/>
        <i val="0"/>
        <strike val="0"/>
        <condense val="0"/>
        <extend val="0"/>
      </font>
      <fill>
        <patternFill>
          <bgColor indexed="8"/>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5400000" vert="horz"/>
          <a:lstStyle/>
          <a:p>
            <a:pPr algn="ctr">
              <a:defRPr sz="800" b="1" i="0" u="none" strike="noStrike" baseline="0">
                <a:solidFill>
                  <a:srgbClr val="000000"/>
                </a:solidFill>
                <a:latin typeface="Arial"/>
                <a:ea typeface="Arial"/>
                <a:cs typeface="Arial"/>
              </a:defRPr>
            </a:pPr>
            <a:r>
              <a:rPr lang="es-ES"/>
              <a:t>% stored</a:t>
            </a:r>
          </a:p>
        </c:rich>
      </c:tx>
      <c:layout>
        <c:manualLayout>
          <c:xMode val="edge"/>
          <c:yMode val="edge"/>
          <c:x val="1.4742014742014743E-2"/>
          <c:y val="0.30716723549488056"/>
        </c:manualLayout>
      </c:layout>
      <c:overlay val="0"/>
      <c:spPr>
        <a:noFill/>
        <a:ln w="25400">
          <a:noFill/>
        </a:ln>
      </c:spPr>
    </c:title>
    <c:autoTitleDeleted val="0"/>
    <c:plotArea>
      <c:layout>
        <c:manualLayout>
          <c:layoutTarget val="inner"/>
          <c:xMode val="edge"/>
          <c:yMode val="edge"/>
          <c:x val="0.1769041769041769"/>
          <c:y val="5.1194539249146756E-2"/>
          <c:w val="0.74938574938574942"/>
          <c:h val="0.80887372013651881"/>
        </c:manualLayout>
      </c:layout>
      <c:scatterChart>
        <c:scatterStyle val="lineMarker"/>
        <c:varyColors val="0"/>
        <c:ser>
          <c:idx val="0"/>
          <c:order val="0"/>
          <c:spPr>
            <a:ln w="25400">
              <a:solidFill>
                <a:srgbClr val="000080"/>
              </a:solidFill>
              <a:prstDash val="solid"/>
            </a:ln>
          </c:spPr>
          <c:marker>
            <c:symbol val="diamond"/>
            <c:size val="7"/>
            <c:spPr>
              <a:solidFill>
                <a:srgbClr val="000080"/>
              </a:solidFill>
              <a:ln>
                <a:solidFill>
                  <a:srgbClr val="000080"/>
                </a:solidFill>
                <a:prstDash val="solid"/>
              </a:ln>
            </c:spPr>
          </c:marker>
          <c:xVal>
            <c:numRef>
              <c:f>Parameters!$G$8:$G$10</c:f>
              <c:numCache>
                <c:formatCode>0%</c:formatCode>
                <c:ptCount val="3"/>
                <c:pt idx="0">
                  <c:v>0</c:v>
                </c:pt>
                <c:pt idx="1">
                  <c:v>0.2</c:v>
                </c:pt>
                <c:pt idx="2">
                  <c:v>1</c:v>
                </c:pt>
              </c:numCache>
            </c:numRef>
          </c:xVal>
          <c:yVal>
            <c:numRef>
              <c:f>Parameters!$H$8:$H$10</c:f>
              <c:numCache>
                <c:formatCode>0%</c:formatCode>
                <c:ptCount val="3"/>
                <c:pt idx="0">
                  <c:v>0</c:v>
                </c:pt>
                <c:pt idx="1">
                  <c:v>0</c:v>
                </c:pt>
                <c:pt idx="2">
                  <c:v>1</c:v>
                </c:pt>
              </c:numCache>
            </c:numRef>
          </c:yVal>
          <c:smooth val="0"/>
        </c:ser>
        <c:dLbls>
          <c:showLegendKey val="0"/>
          <c:showVal val="0"/>
          <c:showCatName val="0"/>
          <c:showSerName val="0"/>
          <c:showPercent val="0"/>
          <c:showBubbleSize val="0"/>
        </c:dLbls>
        <c:axId val="91015808"/>
        <c:axId val="91054848"/>
      </c:scatterChart>
      <c:valAx>
        <c:axId val="91015808"/>
        <c:scaling>
          <c:orientation val="minMax"/>
          <c:max val="1"/>
        </c:scaling>
        <c:delete val="0"/>
        <c:axPos val="b"/>
        <c:numFmt formatCode="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s-ES"/>
          </a:p>
        </c:txPr>
        <c:crossAx val="91054848"/>
        <c:crosses val="autoZero"/>
        <c:crossBetween val="midCat"/>
      </c:valAx>
      <c:valAx>
        <c:axId val="91054848"/>
        <c:scaling>
          <c:orientation val="minMax"/>
          <c:max val="1"/>
        </c:scaling>
        <c:delete val="0"/>
        <c:axPos val="l"/>
        <c:majorGridlines>
          <c:spPr>
            <a:ln w="3175">
              <a:solidFill>
                <a:srgbClr val="000000"/>
              </a:solidFill>
              <a:prstDash val="solid"/>
            </a:ln>
          </c:spPr>
        </c:majorGridlines>
        <c:numFmt formatCode="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s-ES"/>
          </a:p>
        </c:txPr>
        <c:crossAx val="91015808"/>
        <c:crosses val="autoZero"/>
        <c:crossBetween val="midCat"/>
      </c:valAx>
      <c:spPr>
        <a:solidFill>
          <a:srgbClr val="C0C0C0"/>
        </a:solidFill>
        <a:ln w="12700">
          <a:solidFill>
            <a:srgbClr val="808080"/>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es-ES"/>
    </a:p>
  </c:txPr>
  <c:printSettings>
    <c:headerFooter alignWithMargins="0"/>
    <c:pageMargins b="1" l="0.75" r="0.75" t="1" header="0" footer="0"/>
    <c:pageSetup paperSize="9" orientation="landscape" horizontalDpi="300" verticalDpi="30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5912462870995998E-2"/>
          <c:y val="7.3746525127111925E-2"/>
          <c:w val="0.90365027917589469"/>
          <c:h val="0.8053120543880623"/>
        </c:manualLayout>
      </c:layout>
      <c:barChart>
        <c:barDir val="col"/>
        <c:grouping val="clustered"/>
        <c:varyColors val="0"/>
        <c:ser>
          <c:idx val="0"/>
          <c:order val="0"/>
          <c:tx>
            <c:strRef>
              <c:f>'Accuracy Test'!$A$7</c:f>
              <c:strCache>
                <c:ptCount val="1"/>
                <c:pt idx="0">
                  <c:v>Calculated</c:v>
                </c:pt>
              </c:strCache>
            </c:strRef>
          </c:tx>
          <c:spPr>
            <a:solidFill>
              <a:srgbClr val="9999FF"/>
            </a:solidFill>
            <a:ln w="12700">
              <a:solidFill>
                <a:srgbClr val="000000"/>
              </a:solidFill>
              <a:prstDash val="solid"/>
            </a:ln>
          </c:spPr>
          <c:invertIfNegative val="0"/>
          <c:cat>
            <c:strRef>
              <c:f>'Accuracy Test'!$B$6:$L$6</c:f>
              <c:strCache>
                <c:ptCount val="11"/>
                <c:pt idx="0">
                  <c:v>France</c:v>
                </c:pt>
                <c:pt idx="1">
                  <c:v>Spain</c:v>
                </c:pt>
                <c:pt idx="2">
                  <c:v>Germany</c:v>
                </c:pt>
                <c:pt idx="3">
                  <c:v>Denmark</c:v>
                </c:pt>
                <c:pt idx="4">
                  <c:v>UK</c:v>
                </c:pt>
                <c:pt idx="5">
                  <c:v>Italy</c:v>
                </c:pt>
                <c:pt idx="6">
                  <c:v>Belgium</c:v>
                </c:pt>
                <c:pt idx="7">
                  <c:v>Austria</c:v>
                </c:pt>
                <c:pt idx="8">
                  <c:v>Ireland</c:v>
                </c:pt>
                <c:pt idx="9">
                  <c:v>Greece</c:v>
                </c:pt>
                <c:pt idx="10">
                  <c:v>Sweden</c:v>
                </c:pt>
              </c:strCache>
            </c:strRef>
          </c:cat>
          <c:val>
            <c:numRef>
              <c:f>'Accuracy Test'!$B$7:$L$7</c:f>
              <c:numCache>
                <c:formatCode>#,##0</c:formatCode>
                <c:ptCount val="11"/>
                <c:pt idx="0">
                  <c:v>529</c:v>
                </c:pt>
                <c:pt idx="1">
                  <c:v>402</c:v>
                </c:pt>
                <c:pt idx="2">
                  <c:v>1027</c:v>
                </c:pt>
                <c:pt idx="3">
                  <c:v>82</c:v>
                </c:pt>
                <c:pt idx="4">
                  <c:v>675</c:v>
                </c:pt>
                <c:pt idx="5">
                  <c:v>581</c:v>
                </c:pt>
                <c:pt idx="6">
                  <c:v>153</c:v>
                </c:pt>
                <c:pt idx="7">
                  <c:v>89</c:v>
                </c:pt>
                <c:pt idx="8">
                  <c:v>54</c:v>
                </c:pt>
                <c:pt idx="9">
                  <c:v>116</c:v>
                </c:pt>
                <c:pt idx="10">
                  <c:v>77</c:v>
                </c:pt>
              </c:numCache>
            </c:numRef>
          </c:val>
        </c:ser>
        <c:ser>
          <c:idx val="1"/>
          <c:order val="1"/>
          <c:tx>
            <c:strRef>
              <c:f>'Accuracy Test'!$A$8</c:f>
              <c:strCache>
                <c:ptCount val="1"/>
                <c:pt idx="0">
                  <c:v>Data</c:v>
                </c:pt>
              </c:strCache>
            </c:strRef>
          </c:tx>
          <c:spPr>
            <a:solidFill>
              <a:srgbClr val="993366"/>
            </a:solidFill>
            <a:ln w="12700">
              <a:solidFill>
                <a:srgbClr val="000000"/>
              </a:solidFill>
              <a:prstDash val="solid"/>
            </a:ln>
          </c:spPr>
          <c:invertIfNegative val="0"/>
          <c:cat>
            <c:strRef>
              <c:f>'Accuracy Test'!$B$6:$L$6</c:f>
              <c:strCache>
                <c:ptCount val="11"/>
                <c:pt idx="0">
                  <c:v>France</c:v>
                </c:pt>
                <c:pt idx="1">
                  <c:v>Spain</c:v>
                </c:pt>
                <c:pt idx="2">
                  <c:v>Germany</c:v>
                </c:pt>
                <c:pt idx="3">
                  <c:v>Denmark</c:v>
                </c:pt>
                <c:pt idx="4">
                  <c:v>UK</c:v>
                </c:pt>
                <c:pt idx="5">
                  <c:v>Italy</c:v>
                </c:pt>
                <c:pt idx="6">
                  <c:v>Belgium</c:v>
                </c:pt>
                <c:pt idx="7">
                  <c:v>Austria</c:v>
                </c:pt>
                <c:pt idx="8">
                  <c:v>Ireland</c:v>
                </c:pt>
                <c:pt idx="9">
                  <c:v>Greece</c:v>
                </c:pt>
                <c:pt idx="10">
                  <c:v>Sweden</c:v>
                </c:pt>
              </c:strCache>
            </c:strRef>
          </c:cat>
          <c:val>
            <c:numRef>
              <c:f>'Accuracy Test'!$B$8:$L$8</c:f>
              <c:numCache>
                <c:formatCode>#,##0</c:formatCode>
                <c:ptCount val="11"/>
                <c:pt idx="0">
                  <c:v>557</c:v>
                </c:pt>
                <c:pt idx="1">
                  <c:v>402</c:v>
                </c:pt>
                <c:pt idx="2">
                  <c:v>1017</c:v>
                </c:pt>
                <c:pt idx="3">
                  <c:v>75</c:v>
                </c:pt>
                <c:pt idx="4">
                  <c:v>651</c:v>
                </c:pt>
                <c:pt idx="5">
                  <c:v>569</c:v>
                </c:pt>
                <c:pt idx="6">
                  <c:v>147</c:v>
                </c:pt>
                <c:pt idx="7">
                  <c:v>91</c:v>
                </c:pt>
                <c:pt idx="8">
                  <c:v>66.569999999999993</c:v>
                </c:pt>
                <c:pt idx="9">
                  <c:v>137</c:v>
                </c:pt>
                <c:pt idx="10">
                  <c:v>70</c:v>
                </c:pt>
              </c:numCache>
            </c:numRef>
          </c:val>
        </c:ser>
        <c:dLbls>
          <c:showLegendKey val="0"/>
          <c:showVal val="0"/>
          <c:showCatName val="0"/>
          <c:showSerName val="0"/>
          <c:showPercent val="0"/>
          <c:showBubbleSize val="0"/>
        </c:dLbls>
        <c:gapWidth val="150"/>
        <c:axId val="92027136"/>
        <c:axId val="92028928"/>
      </c:barChart>
      <c:catAx>
        <c:axId val="92027136"/>
        <c:scaling>
          <c:orientation val="minMax"/>
        </c:scaling>
        <c:delete val="0"/>
        <c:axPos val="b"/>
        <c:numFmt formatCode="#,##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s-ES"/>
          </a:p>
        </c:txPr>
        <c:crossAx val="92028928"/>
        <c:crosses val="autoZero"/>
        <c:auto val="1"/>
        <c:lblAlgn val="ctr"/>
        <c:lblOffset val="100"/>
        <c:tickLblSkip val="1"/>
        <c:tickMarkSkip val="1"/>
        <c:noMultiLvlLbl val="0"/>
      </c:catAx>
      <c:valAx>
        <c:axId val="92028928"/>
        <c:scaling>
          <c:orientation val="minMax"/>
        </c:scaling>
        <c:delete val="0"/>
        <c:axPos val="l"/>
        <c:majorGridlines>
          <c:spPr>
            <a:ln w="3175">
              <a:solidFill>
                <a:srgbClr val="000000"/>
              </a:solidFill>
              <a:prstDash val="solid"/>
            </a:ln>
          </c:spPr>
        </c:majorGridlines>
        <c:numFmt formatCode="#,##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s-ES"/>
          </a:p>
        </c:txPr>
        <c:crossAx val="92027136"/>
        <c:crosses val="autoZero"/>
        <c:crossBetween val="between"/>
      </c:valAx>
      <c:spPr>
        <a:solidFill>
          <a:srgbClr val="C0C0C0"/>
        </a:solidFill>
        <a:ln w="12700">
          <a:solidFill>
            <a:srgbClr val="808080"/>
          </a:solidFill>
          <a:prstDash val="solid"/>
        </a:ln>
      </c:spPr>
    </c:plotArea>
    <c:legend>
      <c:legendPos val="r"/>
      <c:layout>
        <c:manualLayout>
          <c:xMode val="edge"/>
          <c:yMode val="edge"/>
          <c:x val="0.67883260067332962"/>
          <c:y val="0.20059054834574444"/>
          <c:w val="0.14598550552114617"/>
          <c:h val="0.14454318924913939"/>
        </c:manualLayout>
      </c:layout>
      <c:overlay val="0"/>
      <c:spPr>
        <a:solidFill>
          <a:srgbClr val="FFFFFF"/>
        </a:solidFill>
        <a:ln w="3175">
          <a:solidFill>
            <a:srgbClr val="000000"/>
          </a:solidFill>
          <a:prstDash val="solid"/>
        </a:ln>
      </c:spPr>
      <c:txPr>
        <a:bodyPr/>
        <a:lstStyle/>
        <a:p>
          <a:pPr>
            <a:defRPr sz="1100" b="0" i="0" u="none" strike="noStrike" baseline="0">
              <a:solidFill>
                <a:srgbClr val="000000"/>
              </a:solidFill>
              <a:latin typeface="Arial"/>
              <a:ea typeface="Arial"/>
              <a:cs typeface="Arial"/>
            </a:defRPr>
          </a:pPr>
          <a:endParaRPr lang="es-ES"/>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es-ES"/>
    </a:p>
  </c:txPr>
  <c:printSettings>
    <c:headerFooter alignWithMargins="0"/>
    <c:pageMargins b="1" l="0.75" r="0.75" t="1" header="0" footer="0"/>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5</xdr:col>
      <xdr:colOff>0</xdr:colOff>
      <xdr:row>5</xdr:row>
      <xdr:rowOff>38100</xdr:rowOff>
    </xdr:from>
    <xdr:to>
      <xdr:col>9</xdr:col>
      <xdr:colOff>552450</xdr:colOff>
      <xdr:row>23</xdr:row>
      <xdr:rowOff>19050</xdr:rowOff>
    </xdr:to>
    <xdr:graphicFrame macro="">
      <xdr:nvGraphicFramePr>
        <xdr:cNvPr id="1027" name="Gráfico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381000</xdr:colOff>
      <xdr:row>10</xdr:row>
      <xdr:rowOff>57150</xdr:rowOff>
    </xdr:from>
    <xdr:to>
      <xdr:col>12</xdr:col>
      <xdr:colOff>0</xdr:colOff>
      <xdr:row>33</xdr:row>
      <xdr:rowOff>0</xdr:rowOff>
    </xdr:to>
    <xdr:graphicFrame macro="">
      <xdr:nvGraphicFramePr>
        <xdr:cNvPr id="4097" name="Gráfico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pageSetUpPr fitToPage="1"/>
  </sheetPr>
  <dimension ref="A1:CG38"/>
  <sheetViews>
    <sheetView tabSelected="1" topLeftCell="A2" workbookViewId="0">
      <selection activeCell="E2" sqref="E2:F2"/>
    </sheetView>
  </sheetViews>
  <sheetFormatPr baseColWidth="10" defaultRowHeight="12.75" x14ac:dyDescent="0.2"/>
  <cols>
    <col min="1" max="1" width="8.85546875" customWidth="1"/>
    <col min="2" max="2" width="4.85546875" customWidth="1"/>
    <col min="3" max="3" width="1.85546875" customWidth="1"/>
    <col min="4" max="4" width="11.42578125" style="10"/>
    <col min="5" max="5" width="10.7109375" style="10" customWidth="1"/>
    <col min="6" max="6" width="11.7109375" style="10" customWidth="1"/>
    <col min="7" max="7" width="9.7109375" style="110" customWidth="1"/>
    <col min="8" max="8" width="11.28515625" customWidth="1"/>
    <col min="9" max="9" width="21" customWidth="1"/>
    <col min="10" max="10" width="12.28515625" customWidth="1"/>
    <col min="11" max="11" width="18.28515625" customWidth="1"/>
    <col min="12" max="12" width="12.28515625" customWidth="1"/>
    <col min="14" max="14" width="11.42578125" style="81"/>
  </cols>
  <sheetData>
    <row r="1" spans="1:85" s="261" customFormat="1" ht="24" hidden="1" customHeight="1" thickBot="1" x14ac:dyDescent="0.25">
      <c r="A1" s="260"/>
      <c r="B1" s="260" t="str">
        <f>IF('Countries Data'!B1="","",'Countries Data'!B1)</f>
        <v>France</v>
      </c>
      <c r="C1" s="260" t="str">
        <f>IF('Countries Data'!C1="","",'Countries Data'!C1)</f>
        <v>Spain</v>
      </c>
      <c r="D1" s="260" t="str">
        <f>IF('Countries Data'!D1="","",'Countries Data'!D1)</f>
        <v>Germany</v>
      </c>
      <c r="E1" s="260" t="str">
        <f>IF('Countries Data'!E1="","",'Countries Data'!E1)</f>
        <v>Denmark</v>
      </c>
      <c r="F1" s="260" t="str">
        <f>IF('Countries Data'!F1="","",'Countries Data'!F1)</f>
        <v>UK</v>
      </c>
      <c r="G1" s="260" t="str">
        <f>IF('Countries Data'!G1="","",'Countries Data'!G1)</f>
        <v>Italy</v>
      </c>
      <c r="H1" s="260" t="str">
        <f>IF('Countries Data'!H1="","",'Countries Data'!H1)</f>
        <v>Belgium</v>
      </c>
      <c r="I1" s="260" t="str">
        <f>IF('Countries Data'!I1="","",'Countries Data'!I1)</f>
        <v>Austria</v>
      </c>
      <c r="J1" s="260" t="str">
        <f>IF('Countries Data'!J1="","",'Countries Data'!J1)</f>
        <v>Ireland</v>
      </c>
      <c r="K1" s="260" t="str">
        <f>IF('Countries Data'!K1="","",'Countries Data'!K1)</f>
        <v>Greece</v>
      </c>
      <c r="L1" s="260" t="str">
        <f>IF('Countries Data'!L1="","",'Countries Data'!L1)</f>
        <v>Sweden</v>
      </c>
      <c r="M1" s="260" t="str">
        <f>IF('Countries Data'!M1="","",'Countries Data'!M1)</f>
        <v>USA</v>
      </c>
      <c r="N1" s="260" t="str">
        <f>IF('Countries Data'!N1="","",'Countries Data'!N1)</f>
        <v>Canada</v>
      </c>
      <c r="O1" s="260" t="str">
        <f>IF('Countries Data'!O1="","",'Countries Data'!O1)</f>
        <v>China</v>
      </c>
      <c r="P1" s="260" t="str">
        <f>IF('Countries Data'!P1="","",'Countries Data'!P1)</f>
        <v/>
      </c>
      <c r="Q1" s="260" t="str">
        <f>IF('Countries Data'!Q1="","",'Countries Data'!Q1)</f>
        <v/>
      </c>
      <c r="R1" s="260" t="str">
        <f>IF('Countries Data'!R1="","",'Countries Data'!R1)</f>
        <v/>
      </c>
      <c r="S1" s="260" t="str">
        <f>IF('Countries Data'!S1="","",'Countries Data'!S1)</f>
        <v/>
      </c>
      <c r="T1" s="260" t="str">
        <f>IF('Countries Data'!T1="","",'Countries Data'!T1)</f>
        <v/>
      </c>
      <c r="U1" s="260" t="str">
        <f>IF('Countries Data'!U1="","",'Countries Data'!U1)</f>
        <v/>
      </c>
      <c r="V1" s="260" t="str">
        <f>IF('Countries Data'!V1="","",'Countries Data'!V1)</f>
        <v/>
      </c>
      <c r="W1" s="260" t="str">
        <f>IF('Countries Data'!W1="","",'Countries Data'!W1)</f>
        <v/>
      </c>
      <c r="X1" s="260" t="str">
        <f>IF('Countries Data'!X1="","",'Countries Data'!X1)</f>
        <v/>
      </c>
      <c r="Y1" s="260" t="str">
        <f>IF('Countries Data'!Y1="","",'Countries Data'!Y1)</f>
        <v/>
      </c>
      <c r="Z1" s="260" t="str">
        <f>IF('Countries Data'!Z1="","",'Countries Data'!Z1)</f>
        <v/>
      </c>
      <c r="AA1" s="260" t="str">
        <f>IF('Countries Data'!AA1="","",'Countries Data'!AA1)</f>
        <v/>
      </c>
      <c r="AB1" s="260" t="str">
        <f>IF('Countries Data'!AB1="","",'Countries Data'!AB1)</f>
        <v/>
      </c>
      <c r="AC1" s="260" t="str">
        <f>IF('Countries Data'!AC1="","",'Countries Data'!AC1)</f>
        <v/>
      </c>
      <c r="AD1" s="260" t="str">
        <f>IF('Countries Data'!AD1="","",'Countries Data'!AD1)</f>
        <v/>
      </c>
      <c r="AE1" s="260" t="str">
        <f>IF('Countries Data'!AE1="","",'Countries Data'!AE1)</f>
        <v/>
      </c>
      <c r="AF1" s="260" t="str">
        <f>IF('Countries Data'!AF1="","",'Countries Data'!AF1)</f>
        <v/>
      </c>
      <c r="AG1" s="260" t="str">
        <f>IF('Countries Data'!AG1="","",'Countries Data'!AG1)</f>
        <v/>
      </c>
      <c r="AH1" s="260" t="str">
        <f>IF('Countries Data'!AH1="","",'Countries Data'!AH1)</f>
        <v/>
      </c>
      <c r="AI1" s="260" t="str">
        <f>IF('Countries Data'!AI1="","",'Countries Data'!AI1)</f>
        <v/>
      </c>
      <c r="AJ1" s="260" t="str">
        <f>IF('Countries Data'!AJ1="","",'Countries Data'!AJ1)</f>
        <v/>
      </c>
      <c r="AK1" s="260" t="str">
        <f>IF('Countries Data'!AK1="","",'Countries Data'!AK1)</f>
        <v/>
      </c>
      <c r="AL1" s="260" t="str">
        <f>IF('Countries Data'!AL1="","",'Countries Data'!AL1)</f>
        <v/>
      </c>
      <c r="AM1" s="260" t="str">
        <f>IF('Countries Data'!AM1="","",'Countries Data'!AM1)</f>
        <v/>
      </c>
      <c r="AN1" s="260" t="str">
        <f>IF('Countries Data'!AN1="","",'Countries Data'!AN1)</f>
        <v/>
      </c>
      <c r="AO1" s="260" t="str">
        <f>IF('Countries Data'!AO1="","",'Countries Data'!AO1)</f>
        <v/>
      </c>
      <c r="AP1" s="260" t="str">
        <f>IF('Countries Data'!AP1="","",'Countries Data'!AP1)</f>
        <v/>
      </c>
      <c r="AQ1" s="260" t="str">
        <f>IF('Countries Data'!AQ1="","",'Countries Data'!AQ1)</f>
        <v/>
      </c>
      <c r="AR1" s="260" t="str">
        <f>IF('Countries Data'!AR1="","",'Countries Data'!AR1)</f>
        <v/>
      </c>
      <c r="AS1" s="260" t="str">
        <f>IF('Countries Data'!AS1="","",'Countries Data'!AS1)</f>
        <v/>
      </c>
      <c r="AT1" s="260" t="str">
        <f>IF('Countries Data'!AT1="","",'Countries Data'!AT1)</f>
        <v/>
      </c>
      <c r="AU1" s="260" t="str">
        <f>IF('Countries Data'!AU1="","",'Countries Data'!AU1)</f>
        <v/>
      </c>
      <c r="AV1" s="260" t="str">
        <f>IF('Countries Data'!AV1="","",'Countries Data'!AV1)</f>
        <v/>
      </c>
      <c r="AW1" s="260" t="str">
        <f>IF('Countries Data'!AW1="","",'Countries Data'!AW1)</f>
        <v/>
      </c>
      <c r="AX1" s="260" t="str">
        <f>IF('Countries Data'!AX1="","",'Countries Data'!AX1)</f>
        <v/>
      </c>
      <c r="AY1" s="260" t="str">
        <f>IF('Countries Data'!AY1="","",'Countries Data'!AY1)</f>
        <v/>
      </c>
      <c r="AZ1" s="260" t="str">
        <f>IF('Countries Data'!AZ1="","",'Countries Data'!AZ1)</f>
        <v/>
      </c>
      <c r="BA1" s="260" t="str">
        <f>IF('Countries Data'!BA1="","",'Countries Data'!BA1)</f>
        <v/>
      </c>
      <c r="BB1" s="260" t="str">
        <f>IF('Countries Data'!BB1="","",'Countries Data'!BB1)</f>
        <v/>
      </c>
      <c r="BC1" s="260" t="str">
        <f>IF('Countries Data'!BC1="","",'Countries Data'!BC1)</f>
        <v/>
      </c>
      <c r="BD1" s="260" t="str">
        <f>IF('Countries Data'!BD1="","",'Countries Data'!BD1)</f>
        <v/>
      </c>
      <c r="BE1" s="260" t="str">
        <f>IF('Countries Data'!BE1="","",'Countries Data'!BE1)</f>
        <v/>
      </c>
      <c r="BF1" s="260" t="str">
        <f>IF('Countries Data'!BF1="","",'Countries Data'!BF1)</f>
        <v/>
      </c>
      <c r="BG1" s="260" t="str">
        <f>IF('Countries Data'!BG1="","",'Countries Data'!BG1)</f>
        <v/>
      </c>
      <c r="BH1" s="260" t="str">
        <f>IF('Countries Data'!BH1="","",'Countries Data'!BH1)</f>
        <v/>
      </c>
      <c r="BI1" s="260" t="str">
        <f>IF('Countries Data'!BI1="","",'Countries Data'!BI1)</f>
        <v/>
      </c>
      <c r="BJ1" s="260" t="str">
        <f>IF('Countries Data'!BJ1="","",'Countries Data'!BJ1)</f>
        <v/>
      </c>
      <c r="BK1" s="260" t="str">
        <f>IF('Countries Data'!BK1="","",'Countries Data'!BK1)</f>
        <v/>
      </c>
      <c r="BL1" s="260" t="str">
        <f>IF('Countries Data'!BL1="","",'Countries Data'!BL1)</f>
        <v/>
      </c>
      <c r="BM1" s="260" t="str">
        <f>IF('Countries Data'!BM1="","",'Countries Data'!BM1)</f>
        <v/>
      </c>
      <c r="BN1" s="260" t="str">
        <f>IF('Countries Data'!BN1="","",'Countries Data'!BN1)</f>
        <v/>
      </c>
      <c r="BO1" s="260" t="str">
        <f>IF('Countries Data'!BO1="","",'Countries Data'!BO1)</f>
        <v/>
      </c>
      <c r="BP1" s="260" t="str">
        <f>IF('Countries Data'!BP1="","",'Countries Data'!BP1)</f>
        <v/>
      </c>
      <c r="BQ1" s="260" t="str">
        <f>IF('Countries Data'!BQ1="","",'Countries Data'!BQ1)</f>
        <v/>
      </c>
      <c r="BR1" s="260" t="str">
        <f>IF('Countries Data'!BR1="","",'Countries Data'!BR1)</f>
        <v/>
      </c>
      <c r="BS1" s="260" t="str">
        <f>IF('Countries Data'!BS1="","",'Countries Data'!BS1)</f>
        <v/>
      </c>
      <c r="BT1" s="260" t="str">
        <f>IF('Countries Data'!BT1="","",'Countries Data'!BT1)</f>
        <v/>
      </c>
      <c r="BU1" s="260" t="str">
        <f>IF('Countries Data'!BU1="","",'Countries Data'!BU1)</f>
        <v/>
      </c>
      <c r="BV1" s="260" t="str">
        <f>IF('Countries Data'!BV1="","",'Countries Data'!BV1)</f>
        <v/>
      </c>
      <c r="BW1" s="260"/>
      <c r="BX1" s="260"/>
      <c r="BY1" s="260"/>
      <c r="BZ1" s="260"/>
      <c r="CA1" s="260"/>
      <c r="CB1" s="260"/>
      <c r="CC1" s="260"/>
      <c r="CD1" s="260"/>
      <c r="CE1" s="260"/>
      <c r="CF1" s="260"/>
      <c r="CG1" s="260"/>
    </row>
    <row r="2" spans="1:85" ht="18.75" thickBot="1" x14ac:dyDescent="0.3">
      <c r="A2" s="212" t="s">
        <v>92</v>
      </c>
      <c r="B2" s="213"/>
      <c r="C2" s="214"/>
      <c r="D2" s="214"/>
      <c r="E2" s="250" t="s">
        <v>25</v>
      </c>
      <c r="F2" s="251"/>
      <c r="J2" s="197"/>
      <c r="L2" s="225" t="s">
        <v>103</v>
      </c>
    </row>
    <row r="3" spans="1:85" ht="18" x14ac:dyDescent="0.25">
      <c r="A3" s="205"/>
    </row>
    <row r="5" spans="1:85" ht="18.75" thickBot="1" x14ac:dyDescent="0.3">
      <c r="D5" s="21" t="s">
        <v>35</v>
      </c>
      <c r="G5" s="106" t="s">
        <v>58</v>
      </c>
      <c r="H5" s="11"/>
      <c r="I5" s="11" t="s">
        <v>3</v>
      </c>
      <c r="J5" s="10"/>
      <c r="K5" s="11" t="s">
        <v>7</v>
      </c>
      <c r="L5" s="10"/>
      <c r="M5" s="10"/>
      <c r="N5" s="55"/>
    </row>
    <row r="6" spans="1:85" x14ac:dyDescent="0.2">
      <c r="A6" s="252" t="s">
        <v>55</v>
      </c>
      <c r="B6" s="253"/>
      <c r="C6" s="199"/>
      <c r="D6" s="13" t="str">
        <f>'Countries Data'!A3</f>
        <v>Coal</v>
      </c>
      <c r="E6" s="12"/>
      <c r="F6" s="147">
        <f>HLOOKUP(Consumption!$E$2,'Countries Data'!$1:$1048576,3,FALSE)*(1+$B$9)</f>
        <v>1751</v>
      </c>
      <c r="G6" s="163">
        <v>0</v>
      </c>
      <c r="H6" s="13">
        <f>F6*(1-G6)</f>
        <v>1751</v>
      </c>
      <c r="I6" s="56">
        <v>0</v>
      </c>
      <c r="J6" s="147">
        <f>H6*(1-I6)</f>
        <v>1751</v>
      </c>
      <c r="K6" s="146">
        <v>0</v>
      </c>
      <c r="L6" s="147">
        <f>J6*(1-K6)</f>
        <v>1751</v>
      </c>
      <c r="M6" s="10"/>
      <c r="N6" s="55"/>
    </row>
    <row r="7" spans="1:85" x14ac:dyDescent="0.2">
      <c r="A7" s="143" t="s">
        <v>56</v>
      </c>
      <c r="B7" s="242">
        <v>0</v>
      </c>
      <c r="C7" s="200"/>
      <c r="D7" s="14" t="str">
        <f>'Countries Data'!A4</f>
        <v>Oil</v>
      </c>
      <c r="E7" s="14"/>
      <c r="F7" s="148">
        <f>HLOOKUP(Consumption!$E$2,'Countries Data'!$1:$1048576,4,FALSE)*(1+$B$9)</f>
        <v>6669</v>
      </c>
      <c r="G7" s="164">
        <v>0</v>
      </c>
      <c r="H7" s="15">
        <f>F7*(1-G7)</f>
        <v>6669</v>
      </c>
      <c r="I7" s="56">
        <v>0</v>
      </c>
      <c r="J7" s="148">
        <f>H7*(1-I7)</f>
        <v>6669</v>
      </c>
      <c r="K7" s="146">
        <v>0</v>
      </c>
      <c r="L7" s="148">
        <f>J7*(1-K7)</f>
        <v>6669</v>
      </c>
      <c r="M7" s="10"/>
      <c r="N7" s="55"/>
    </row>
    <row r="8" spans="1:85" x14ac:dyDescent="0.2">
      <c r="A8" s="143" t="s">
        <v>57</v>
      </c>
      <c r="B8" s="243">
        <v>0.02</v>
      </c>
      <c r="C8" s="201"/>
      <c r="D8" s="8" t="str">
        <f>'Countries Data'!A5</f>
        <v>Gas</v>
      </c>
      <c r="E8" s="8"/>
      <c r="F8" s="149">
        <f>HLOOKUP(Consumption!$E$2,'Countries Data'!$1:$1048576,5,FALSE)*(1+$B$9)</f>
        <v>11626</v>
      </c>
      <c r="G8" s="165">
        <v>0</v>
      </c>
      <c r="H8" s="6">
        <f>F8*(1-G8)</f>
        <v>11626</v>
      </c>
      <c r="I8" s="56">
        <v>0</v>
      </c>
      <c r="J8" s="149">
        <f>H8*(1-I8)</f>
        <v>11626</v>
      </c>
      <c r="K8" s="146">
        <v>0</v>
      </c>
      <c r="L8" s="149">
        <f>J8*(1-K8)</f>
        <v>11626</v>
      </c>
      <c r="M8" s="10"/>
      <c r="N8" s="55"/>
    </row>
    <row r="9" spans="1:85" ht="13.5" thickBot="1" x14ac:dyDescent="0.25">
      <c r="A9" s="144" t="s">
        <v>18</v>
      </c>
      <c r="B9" s="145">
        <f>(1+B8)^B7-1</f>
        <v>0</v>
      </c>
      <c r="C9" s="202"/>
      <c r="D9" s="7" t="str">
        <f>'Countries Data'!A6</f>
        <v>Bio. Wood</v>
      </c>
      <c r="E9" s="7"/>
      <c r="F9" s="150">
        <f>HLOOKUP(Consumption!$E$2,'Countries Data'!$1:$1048576,6,FALSE)*(1+$B$9)</f>
        <v>1343</v>
      </c>
      <c r="G9" s="166">
        <v>0</v>
      </c>
      <c r="H9" s="16">
        <f>F9*(1-G9)</f>
        <v>1343</v>
      </c>
      <c r="I9" s="57"/>
      <c r="J9" s="152">
        <f>H9+I6*H6+I7*H7+I8*H8</f>
        <v>1343</v>
      </c>
      <c r="K9" s="5"/>
      <c r="L9" s="150">
        <f>J9</f>
        <v>1343</v>
      </c>
      <c r="M9" s="10"/>
      <c r="N9" s="55"/>
    </row>
    <row r="10" spans="1:85" x14ac:dyDescent="0.2">
      <c r="D10" s="17" t="str">
        <f>'Countries Data'!A7</f>
        <v>Electricity</v>
      </c>
      <c r="E10" s="17"/>
      <c r="F10" s="168">
        <f>HLOOKUP(Consumption!$E$2,'Countries Data'!$1:$1048576,7,FALSE)*(1+$B$9)</f>
        <v>8456</v>
      </c>
      <c r="G10" s="167">
        <v>0</v>
      </c>
      <c r="H10" s="5">
        <f>F10*(1-G10)</f>
        <v>8456</v>
      </c>
      <c r="I10" s="19"/>
      <c r="J10" s="5">
        <f>H10</f>
        <v>8456</v>
      </c>
      <c r="K10" s="5"/>
      <c r="L10" s="151">
        <f>J10+K6*J6+K7*J7+K8*J8</f>
        <v>8456</v>
      </c>
      <c r="M10" s="10"/>
      <c r="N10" s="55"/>
    </row>
    <row r="11" spans="1:85" ht="13.5" thickBot="1" x14ac:dyDescent="0.25">
      <c r="D11" s="2"/>
      <c r="E11" s="2"/>
      <c r="F11" s="23">
        <f>SUM(F6:F10)</f>
        <v>29845</v>
      </c>
      <c r="G11" s="107"/>
      <c r="H11" s="23">
        <f>SUM(H6:H10)</f>
        <v>29845</v>
      </c>
      <c r="I11" s="23"/>
      <c r="J11" s="23">
        <f>SUM(J6:J10)</f>
        <v>29845</v>
      </c>
      <c r="K11" s="23"/>
      <c r="L11" s="24">
        <f>SUM(L6:L10)</f>
        <v>29845</v>
      </c>
      <c r="M11" s="10"/>
      <c r="N11" s="55"/>
    </row>
    <row r="12" spans="1:85" x14ac:dyDescent="0.2">
      <c r="D12" s="22"/>
      <c r="E12" s="22"/>
      <c r="F12" s="22"/>
      <c r="G12" s="108"/>
      <c r="H12" s="22"/>
      <c r="I12" s="22"/>
      <c r="J12" s="22"/>
      <c r="K12" s="22"/>
      <c r="L12" s="22"/>
      <c r="M12" s="10"/>
      <c r="N12" s="55"/>
    </row>
    <row r="13" spans="1:85" ht="18.75" thickBot="1" x14ac:dyDescent="0.3">
      <c r="D13" s="21" t="s">
        <v>97</v>
      </c>
      <c r="G13" s="106" t="s">
        <v>58</v>
      </c>
      <c r="H13" s="10"/>
      <c r="I13" s="11" t="s">
        <v>135</v>
      </c>
      <c r="J13" s="10"/>
      <c r="K13" s="11" t="s">
        <v>8</v>
      </c>
      <c r="L13" s="241">
        <f>Parameters!C21</f>
        <v>0.3</v>
      </c>
      <c r="M13" s="157" t="s">
        <v>136</v>
      </c>
      <c r="N13" s="55"/>
    </row>
    <row r="14" spans="1:85" x14ac:dyDescent="0.2">
      <c r="A14" s="252" t="s">
        <v>55</v>
      </c>
      <c r="B14" s="253"/>
      <c r="C14" s="199"/>
      <c r="D14" s="15" t="str">
        <f>'Countries Data'!A10</f>
        <v>Jet Fuel</v>
      </c>
      <c r="E14" s="14"/>
      <c r="F14" s="148">
        <f>HLOOKUP(Consumption!$E$2,'Countries Data'!$1:$1048576,10,FALSE)*(1+$B$17)</f>
        <v>4506</v>
      </c>
      <c r="G14" s="164">
        <v>0</v>
      </c>
      <c r="H14" s="15">
        <f>F14*(1-G14)</f>
        <v>4506</v>
      </c>
      <c r="I14" s="56">
        <v>0</v>
      </c>
      <c r="J14" s="147">
        <f>H14*(1-I14)</f>
        <v>4506</v>
      </c>
      <c r="K14" s="19"/>
      <c r="L14" s="15">
        <f>J14</f>
        <v>4506</v>
      </c>
      <c r="M14" s="10"/>
      <c r="N14" s="55"/>
    </row>
    <row r="15" spans="1:85" x14ac:dyDescent="0.2">
      <c r="A15" s="143" t="s">
        <v>56</v>
      </c>
      <c r="B15" s="242">
        <v>0</v>
      </c>
      <c r="C15" s="200"/>
      <c r="D15" s="14" t="str">
        <f>'Countries Data'!A11</f>
        <v>Diesel</v>
      </c>
      <c r="E15" s="14"/>
      <c r="F15" s="148">
        <f>HLOOKUP(Consumption!$E$2,'Countries Data'!$1:$1048576,11,FALSE)*(1+$B$17)</f>
        <v>22773</v>
      </c>
      <c r="G15" s="164">
        <v>0</v>
      </c>
      <c r="H15" s="15">
        <f>F15*(1-G15)</f>
        <v>22773</v>
      </c>
      <c r="I15" s="56">
        <v>0</v>
      </c>
      <c r="J15" s="148">
        <f>H15*(1-I15)</f>
        <v>22773</v>
      </c>
      <c r="K15" s="146">
        <v>0</v>
      </c>
      <c r="L15" s="148">
        <f>J15*(1-K15)</f>
        <v>22773</v>
      </c>
      <c r="M15" s="10"/>
      <c r="N15" s="55"/>
    </row>
    <row r="16" spans="1:85" x14ac:dyDescent="0.2">
      <c r="A16" s="143" t="s">
        <v>57</v>
      </c>
      <c r="B16" s="243">
        <v>0.02</v>
      </c>
      <c r="C16" s="201"/>
      <c r="D16" s="14" t="str">
        <f>'Countries Data'!A12</f>
        <v>Motor spirit</v>
      </c>
      <c r="E16" s="14"/>
      <c r="F16" s="148">
        <f>HLOOKUP(Consumption!$E$2,'Countries Data'!$1:$1048576,12,FALSE)*(1+$B$17)</f>
        <v>8461</v>
      </c>
      <c r="G16" s="164">
        <v>0</v>
      </c>
      <c r="H16" s="15">
        <f>F16*(1-G16)</f>
        <v>8461</v>
      </c>
      <c r="I16" s="56">
        <v>0</v>
      </c>
      <c r="J16" s="149">
        <f>H16*(1-I16)</f>
        <v>8461</v>
      </c>
      <c r="K16" s="146">
        <v>0</v>
      </c>
      <c r="L16" s="148">
        <f>J16*(1-K16)</f>
        <v>8461</v>
      </c>
      <c r="M16" s="10"/>
      <c r="N16" s="82"/>
    </row>
    <row r="17" spans="1:14" ht="13.5" thickBot="1" x14ac:dyDescent="0.25">
      <c r="A17" s="144" t="s">
        <v>18</v>
      </c>
      <c r="B17" s="145">
        <f>(1+B16)^B15-1</f>
        <v>0</v>
      </c>
      <c r="C17" s="202"/>
      <c r="D17" s="7" t="str">
        <f>'Countries Data'!A13</f>
        <v>Biomass wood</v>
      </c>
      <c r="E17" s="7"/>
      <c r="F17" s="150">
        <f>HLOOKUP(Consumption!$E$2,'Countries Data'!$1:$1048576,13,FALSE)*(1+$B$17)</f>
        <v>209</v>
      </c>
      <c r="G17" s="166">
        <v>0</v>
      </c>
      <c r="H17" s="16">
        <f>F17*(1-G17)</f>
        <v>209</v>
      </c>
      <c r="I17" s="58"/>
      <c r="J17" s="16">
        <f>H17</f>
        <v>209</v>
      </c>
      <c r="K17" s="17"/>
      <c r="L17" s="16">
        <f>H17</f>
        <v>209</v>
      </c>
      <c r="M17" s="10"/>
      <c r="N17" s="55"/>
    </row>
    <row r="18" spans="1:14" x14ac:dyDescent="0.2">
      <c r="D18" s="7"/>
      <c r="E18" s="7"/>
      <c r="F18" s="150"/>
      <c r="G18" s="166"/>
      <c r="H18" s="16"/>
      <c r="I18" s="58"/>
      <c r="J18" s="152">
        <f>I14*H14+H15*I15+H16*I16</f>
        <v>0</v>
      </c>
      <c r="K18" s="17"/>
      <c r="L18" s="16">
        <f>J18</f>
        <v>0</v>
      </c>
      <c r="M18" s="10"/>
      <c r="N18" s="55"/>
    </row>
    <row r="19" spans="1:14" x14ac:dyDescent="0.2">
      <c r="D19" s="5" t="str">
        <f>'Countries Data'!A14</f>
        <v>Electricity</v>
      </c>
      <c r="E19" s="17"/>
      <c r="F19" s="168">
        <f>HLOOKUP(Consumption!$E$2,'Countries Data'!$1:$1048576,14,FALSE)*(1+$B$17)</f>
        <v>441</v>
      </c>
      <c r="G19" s="167">
        <v>0</v>
      </c>
      <c r="H19" s="5">
        <f>F19*(1-G19)</f>
        <v>441</v>
      </c>
      <c r="I19" s="19"/>
      <c r="J19" s="5">
        <f>H19</f>
        <v>441</v>
      </c>
      <c r="K19" s="5"/>
      <c r="L19" s="153">
        <f>J19+(K15*J15+K16*J16)/L13</f>
        <v>441</v>
      </c>
      <c r="M19" s="10"/>
      <c r="N19" s="55"/>
    </row>
    <row r="20" spans="1:14" ht="13.5" thickBot="1" x14ac:dyDescent="0.25">
      <c r="D20" s="2"/>
      <c r="E20" s="2"/>
      <c r="F20" s="23">
        <f>SUM(F14:F19)</f>
        <v>36390</v>
      </c>
      <c r="G20" s="109"/>
      <c r="H20" s="23">
        <f>SUM(H14:H19)</f>
        <v>36390</v>
      </c>
      <c r="I20" s="2"/>
      <c r="J20" s="23">
        <f>SUM(J14:J19)</f>
        <v>36390</v>
      </c>
      <c r="K20" s="2"/>
      <c r="L20" s="24">
        <f>SUM(L14:L19)</f>
        <v>36390</v>
      </c>
      <c r="M20" s="10"/>
      <c r="N20" s="55"/>
    </row>
    <row r="21" spans="1:14" x14ac:dyDescent="0.2">
      <c r="H21" s="10"/>
      <c r="I21" s="10"/>
      <c r="J21" s="10"/>
      <c r="K21" s="25" t="s">
        <v>5</v>
      </c>
      <c r="L21" s="26">
        <f>L20-F20</f>
        <v>0</v>
      </c>
      <c r="M21" s="10"/>
      <c r="N21" s="55"/>
    </row>
    <row r="22" spans="1:14" ht="18.75" thickBot="1" x14ac:dyDescent="0.3">
      <c r="D22" s="21" t="s">
        <v>154</v>
      </c>
      <c r="G22" s="106" t="s">
        <v>58</v>
      </c>
      <c r="H22" s="10"/>
      <c r="I22" s="11" t="s">
        <v>4</v>
      </c>
      <c r="J22" s="157"/>
      <c r="K22" s="157"/>
      <c r="L22" s="157"/>
      <c r="M22" s="10"/>
      <c r="N22" s="55"/>
    </row>
    <row r="23" spans="1:14" x14ac:dyDescent="0.2">
      <c r="A23" s="252" t="s">
        <v>55</v>
      </c>
      <c r="B23" s="253"/>
      <c r="C23" s="203"/>
      <c r="D23" s="13" t="str">
        <f>'Countries Data'!A17</f>
        <v>Coal</v>
      </c>
      <c r="E23" s="12"/>
      <c r="F23" s="13">
        <f>HLOOKUP(Consumption!$E$2,'Countries Data'!$1:$1048576,17,FALSE)*(1+$B$26)</f>
        <v>82</v>
      </c>
      <c r="G23" s="169">
        <v>0</v>
      </c>
      <c r="H23" s="13">
        <f>F23*(1-G23)</f>
        <v>82</v>
      </c>
      <c r="I23" s="41"/>
      <c r="J23" s="43"/>
      <c r="K23" s="43"/>
      <c r="L23" s="43">
        <f>H23</f>
        <v>82</v>
      </c>
      <c r="M23" s="10"/>
      <c r="N23" s="55"/>
    </row>
    <row r="24" spans="1:14" x14ac:dyDescent="0.2">
      <c r="A24" s="143" t="s">
        <v>56</v>
      </c>
      <c r="B24" s="242">
        <v>0</v>
      </c>
      <c r="C24" s="200"/>
      <c r="D24" s="14" t="str">
        <f>'Countries Data'!A18</f>
        <v>Gas Oil</v>
      </c>
      <c r="E24" s="14"/>
      <c r="F24" s="15">
        <f>HLOOKUP(Consumption!$E$2,'Countries Data'!$1:$1048576,18,FALSE)*(1+$B$26)</f>
        <v>5449</v>
      </c>
      <c r="G24" s="170">
        <v>0</v>
      </c>
      <c r="H24" s="15">
        <f>F24*(1-G24)</f>
        <v>5449</v>
      </c>
      <c r="I24" s="41"/>
      <c r="J24" s="44"/>
      <c r="K24" s="44"/>
      <c r="L24" s="44">
        <f>H24</f>
        <v>5449</v>
      </c>
      <c r="M24" s="10"/>
      <c r="N24" s="55"/>
    </row>
    <row r="25" spans="1:14" x14ac:dyDescent="0.2">
      <c r="A25" s="143" t="s">
        <v>57</v>
      </c>
      <c r="B25" s="243">
        <v>0.02</v>
      </c>
      <c r="C25" s="201"/>
      <c r="D25" s="8" t="str">
        <f>'Countries Data'!A19</f>
        <v>Natural Gas</v>
      </c>
      <c r="E25" s="8"/>
      <c r="F25" s="6">
        <f>HLOOKUP(Consumption!$E$2,'Countries Data'!$1:$1048576,19,FALSE)*(1+$B$26)</f>
        <v>3696</v>
      </c>
      <c r="G25" s="171">
        <v>0</v>
      </c>
      <c r="H25" s="6">
        <f>F25*(1-G25)</f>
        <v>3696</v>
      </c>
      <c r="I25" s="119"/>
      <c r="J25" s="158"/>
      <c r="K25" s="158"/>
      <c r="L25" s="45">
        <f>H25</f>
        <v>3696</v>
      </c>
      <c r="M25" s="10"/>
      <c r="N25" s="55"/>
    </row>
    <row r="26" spans="1:14" ht="13.5" thickBot="1" x14ac:dyDescent="0.25">
      <c r="A26" s="144" t="s">
        <v>18</v>
      </c>
      <c r="B26" s="145">
        <f>(1+B25)^B24-1</f>
        <v>0</v>
      </c>
      <c r="C26" s="202"/>
      <c r="D26" s="7" t="str">
        <f>'Countries Data'!A20</f>
        <v>Biomass Wood</v>
      </c>
      <c r="E26" s="7"/>
      <c r="F26" s="16">
        <f>HLOOKUP(Consumption!$E$2,'Countries Data'!$1:$1048576,20,FALSE)*(1+$B$26)</f>
        <v>2067</v>
      </c>
      <c r="G26" s="172">
        <v>0</v>
      </c>
      <c r="H26" s="16">
        <f>F26*(1-G26)</f>
        <v>2067</v>
      </c>
      <c r="I26" s="119"/>
      <c r="J26" s="46"/>
      <c r="K26" s="46"/>
      <c r="L26" s="46">
        <f>H26</f>
        <v>2067</v>
      </c>
      <c r="M26" s="10"/>
      <c r="N26" s="55"/>
    </row>
    <row r="27" spans="1:14" x14ac:dyDescent="0.2">
      <c r="D27" s="17" t="str">
        <f>'Countries Data'!A21</f>
        <v>Electricity</v>
      </c>
      <c r="E27" s="17"/>
      <c r="F27" s="5">
        <f>HLOOKUP(Consumption!$E$2,'Countries Data'!$1:$1048576,21,FALSE)*(1+$B$26)</f>
        <v>10019</v>
      </c>
      <c r="G27" s="173">
        <v>0</v>
      </c>
      <c r="H27" s="5">
        <f>F27*(1-G27)</f>
        <v>10019</v>
      </c>
      <c r="I27" s="56">
        <v>0</v>
      </c>
      <c r="J27" s="86"/>
      <c r="K27" s="86"/>
      <c r="L27" s="159">
        <f>H27*(1-I27)</f>
        <v>10019</v>
      </c>
      <c r="M27" s="10"/>
      <c r="N27" s="55"/>
    </row>
    <row r="28" spans="1:14" x14ac:dyDescent="0.2">
      <c r="D28" s="7" t="s">
        <v>72</v>
      </c>
      <c r="E28" s="7"/>
      <c r="F28" s="16"/>
      <c r="G28" s="172"/>
      <c r="H28" s="16"/>
      <c r="I28" s="160"/>
      <c r="J28" s="160"/>
      <c r="K28" s="160"/>
      <c r="L28" s="161">
        <f>H27*I27</f>
        <v>0</v>
      </c>
      <c r="M28" s="10"/>
      <c r="N28" s="55"/>
    </row>
    <row r="29" spans="1:14" ht="13.5" thickBot="1" x14ac:dyDescent="0.25">
      <c r="D29" s="2"/>
      <c r="E29" s="2"/>
      <c r="F29" s="23">
        <f>SUM(F23:F28)</f>
        <v>21313</v>
      </c>
      <c r="G29" s="109"/>
      <c r="H29" s="23">
        <f>SUM(H23:H28)</f>
        <v>21313</v>
      </c>
      <c r="I29" s="162"/>
      <c r="J29" s="162"/>
      <c r="K29" s="162"/>
      <c r="L29" s="24">
        <f>SUM(L23:L28)</f>
        <v>21313</v>
      </c>
      <c r="M29" s="10"/>
      <c r="N29" s="55"/>
    </row>
    <row r="30" spans="1:14" x14ac:dyDescent="0.2">
      <c r="H30" s="10"/>
      <c r="I30" s="157"/>
      <c r="J30" s="157"/>
      <c r="K30" s="157"/>
      <c r="L30" s="157"/>
      <c r="M30" s="10"/>
      <c r="N30" s="55"/>
    </row>
    <row r="31" spans="1:14" ht="13.5" thickBot="1" x14ac:dyDescent="0.25">
      <c r="H31" s="10"/>
      <c r="I31" s="10"/>
      <c r="J31" s="10"/>
      <c r="K31" s="10"/>
      <c r="L31" s="10"/>
      <c r="M31" s="10"/>
      <c r="N31" s="55"/>
    </row>
    <row r="32" spans="1:14" ht="18.75" thickBot="1" x14ac:dyDescent="0.3">
      <c r="A32" s="198" t="s">
        <v>62</v>
      </c>
      <c r="G32" s="111"/>
      <c r="H32" s="206"/>
      <c r="I32" s="207"/>
      <c r="J32" s="154" t="s">
        <v>6</v>
      </c>
      <c r="K32" s="155">
        <f>L29+L20+L11</f>
        <v>87548</v>
      </c>
      <c r="L32" s="156" t="s">
        <v>2</v>
      </c>
      <c r="N32" s="55"/>
    </row>
    <row r="33" spans="1:14" x14ac:dyDescent="0.2">
      <c r="A33" s="198" t="s">
        <v>142</v>
      </c>
      <c r="H33" s="10"/>
      <c r="I33" s="10"/>
      <c r="J33" s="10"/>
      <c r="K33" s="10"/>
      <c r="L33" s="10"/>
      <c r="M33" s="10"/>
      <c r="N33" s="55"/>
    </row>
    <row r="34" spans="1:14" x14ac:dyDescent="0.2">
      <c r="H34" s="10"/>
      <c r="I34" s="10"/>
      <c r="J34" s="10"/>
      <c r="K34" s="10"/>
      <c r="L34" s="10"/>
      <c r="M34" s="10"/>
      <c r="N34" s="55"/>
    </row>
    <row r="35" spans="1:14" x14ac:dyDescent="0.2">
      <c r="H35" s="10"/>
      <c r="I35" s="10"/>
      <c r="J35" s="10"/>
      <c r="K35" s="10"/>
      <c r="L35" s="10"/>
      <c r="M35" s="10"/>
      <c r="N35" s="55"/>
    </row>
    <row r="36" spans="1:14" x14ac:dyDescent="0.2">
      <c r="N36" s="55"/>
    </row>
    <row r="37" spans="1:14" x14ac:dyDescent="0.2">
      <c r="N37" s="55"/>
    </row>
    <row r="38" spans="1:14" x14ac:dyDescent="0.2">
      <c r="N38" s="55"/>
    </row>
  </sheetData>
  <sheetProtection password="CC16" sheet="1" objects="1" scenarios="1"/>
  <protectedRanges>
    <protectedRange sqref="G6:G10 G14:G17 G19 G23:G27 I6:I8 I14:I16 I27 K6:K8 K15:K16 B7:B8 B15:B16 B24:B25 E2" name="Rango1"/>
  </protectedRanges>
  <mergeCells count="4">
    <mergeCell ref="E2:F2"/>
    <mergeCell ref="A6:B6"/>
    <mergeCell ref="A14:B14"/>
    <mergeCell ref="A23:B23"/>
  </mergeCells>
  <phoneticPr fontId="3" type="noConversion"/>
  <dataValidations count="1">
    <dataValidation type="list" allowBlank="1" showInputMessage="1" showErrorMessage="1" promptTitle="Choose the Country" sqref="E2:F2">
      <formula1>$B$1:$AV$1</formula1>
    </dataValidation>
  </dataValidations>
  <printOptions horizontalCentered="1"/>
  <pageMargins left="0.78740157480314965" right="0.59055118110236227" top="0.78740157480314965" bottom="0.78740157480314965" header="0" footer="0"/>
  <pageSetup paperSize="9" scale="81" orientation="landscape" r:id="rId1"/>
  <headerFooter alignWithMargins="0"/>
  <ignoredErrors>
    <ignoredError sqref="J18" formula="1"/>
  </ignoredError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3">
    <pageSetUpPr fitToPage="1"/>
  </sheetPr>
  <dimension ref="A1:N24"/>
  <sheetViews>
    <sheetView workbookViewId="0">
      <selection activeCell="E19" sqref="E19"/>
    </sheetView>
  </sheetViews>
  <sheetFormatPr baseColWidth="10" defaultRowHeight="12.75" x14ac:dyDescent="0.2"/>
  <cols>
    <col min="1" max="1" width="18.7109375" customWidth="1"/>
    <col min="2" max="2" width="8.42578125" customWidth="1"/>
    <col min="4" max="4" width="0.85546875" style="18" customWidth="1"/>
    <col min="6" max="6" width="0.85546875" customWidth="1"/>
    <col min="7" max="7" width="14.140625" customWidth="1"/>
    <col min="8" max="8" width="18.140625" customWidth="1"/>
    <col min="9" max="9" width="1.28515625" customWidth="1"/>
    <col min="10" max="10" width="16.7109375" customWidth="1"/>
  </cols>
  <sheetData>
    <row r="1" spans="1:14" ht="18.75" thickBot="1" x14ac:dyDescent="0.3">
      <c r="A1" s="212" t="s">
        <v>51</v>
      </c>
      <c r="B1" s="215" t="str">
        <f>Consumption!E2</f>
        <v>Spain</v>
      </c>
      <c r="C1" s="214"/>
      <c r="D1" s="214"/>
      <c r="E1" s="216"/>
      <c r="L1" s="225" t="s">
        <v>102</v>
      </c>
    </row>
    <row r="2" spans="1:14" ht="18" x14ac:dyDescent="0.25">
      <c r="A2" s="205"/>
      <c r="B2" s="205"/>
    </row>
    <row r="4" spans="1:14" ht="18" x14ac:dyDescent="0.25">
      <c r="A4" s="21" t="s">
        <v>80</v>
      </c>
      <c r="C4" s="1"/>
      <c r="D4" s="63"/>
      <c r="E4" s="1"/>
      <c r="F4" s="1"/>
      <c r="H4" s="195">
        <f>Consumption!L10+Consumption!L19+Consumption!L27</f>
        <v>18916</v>
      </c>
      <c r="I4" s="66" t="s">
        <v>2</v>
      </c>
      <c r="N4" s="81"/>
    </row>
    <row r="6" spans="1:14" x14ac:dyDescent="0.2">
      <c r="A6" s="1" t="s">
        <v>81</v>
      </c>
      <c r="B6" s="1"/>
      <c r="C6" s="59" t="s">
        <v>14</v>
      </c>
      <c r="D6" s="64"/>
      <c r="E6" s="1" t="s">
        <v>16</v>
      </c>
      <c r="G6" s="1" t="s">
        <v>83</v>
      </c>
      <c r="H6" s="1" t="s">
        <v>84</v>
      </c>
      <c r="J6" s="1" t="s">
        <v>85</v>
      </c>
      <c r="K6" s="101" t="s">
        <v>86</v>
      </c>
    </row>
    <row r="7" spans="1:14" x14ac:dyDescent="0.2">
      <c r="A7" s="60" t="s">
        <v>36</v>
      </c>
      <c r="B7" s="60"/>
      <c r="C7" s="208">
        <f>HLOOKUP(Consumption!$E$2,'Countries Data'!$1:$1048576,24,FALSE)</f>
        <v>0.28426538841969107</v>
      </c>
      <c r="D7" s="32"/>
      <c r="E7" s="248">
        <f>H$4*C7</f>
        <v>5377.1640873468759</v>
      </c>
      <c r="G7" s="3">
        <f>E7*Parameters!C$18</f>
        <v>480.11040628644218</v>
      </c>
      <c r="H7" s="3">
        <f>E7*Parameters!C$19</f>
        <v>399.91084758551074</v>
      </c>
      <c r="J7" s="174">
        <f>E7+G7+H7</f>
        <v>6257.1853412188293</v>
      </c>
      <c r="K7" s="102">
        <f>E7/$E$18</f>
        <v>0.28426538841969107</v>
      </c>
    </row>
    <row r="8" spans="1:14" x14ac:dyDescent="0.2">
      <c r="A8" s="60" t="s">
        <v>38</v>
      </c>
      <c r="B8" s="60"/>
      <c r="C8" s="208">
        <f>HLOOKUP(Consumption!$E$2,'Countries Data'!$1:$1048576,25,FALSE)</f>
        <v>0.15445864718861751</v>
      </c>
      <c r="D8" s="32"/>
      <c r="E8" s="248">
        <f t="shared" ref="E8:E17" si="0">H$4*C8</f>
        <v>2921.7397702198891</v>
      </c>
      <c r="G8" s="3">
        <f>E8*Parameters!C$18</f>
        <v>260.8731378394026</v>
      </c>
      <c r="H8" s="3">
        <f>E8*Parameters!C$19</f>
        <v>217.2958475792849</v>
      </c>
      <c r="J8" s="174">
        <f t="shared" ref="J8:J16" si="1">E8+G8+H8</f>
        <v>3399.9087556385766</v>
      </c>
      <c r="K8" s="102">
        <f>E8/$E$18</f>
        <v>0.15445864718861751</v>
      </c>
    </row>
    <row r="9" spans="1:14" x14ac:dyDescent="0.2">
      <c r="A9" s="60" t="s">
        <v>37</v>
      </c>
      <c r="B9" s="60"/>
      <c r="C9" s="208">
        <f>HLOOKUP(Consumption!$E$2,'Countries Data'!$1:$1048576,26,FALSE)</f>
        <v>9.1310964011260751E-2</v>
      </c>
      <c r="D9" s="32"/>
      <c r="E9" s="248">
        <f>H$4*C9</f>
        <v>1727.2381952370083</v>
      </c>
      <c r="G9" s="3">
        <f>E9*Parameters!C$18</f>
        <v>154.21977425239135</v>
      </c>
      <c r="H9" s="3">
        <f>E9*Parameters!C$19</f>
        <v>128.45828756922231</v>
      </c>
      <c r="J9" s="174">
        <f t="shared" si="1"/>
        <v>2009.9162570586218</v>
      </c>
      <c r="K9" s="102">
        <f>E9/$E$18</f>
        <v>9.1310964011260751E-2</v>
      </c>
    </row>
    <row r="10" spans="1:14" ht="5.25" customHeight="1" x14ac:dyDescent="0.2">
      <c r="A10" s="61"/>
      <c r="B10" s="61"/>
      <c r="C10" s="65"/>
      <c r="D10" s="65"/>
      <c r="E10" s="65"/>
      <c r="F10" s="65"/>
      <c r="G10" s="65"/>
      <c r="H10" s="65"/>
      <c r="I10" s="65"/>
      <c r="J10" s="175"/>
      <c r="K10" s="103"/>
      <c r="L10" s="65"/>
    </row>
    <row r="11" spans="1:14" x14ac:dyDescent="0.2">
      <c r="A11" s="60" t="s">
        <v>69</v>
      </c>
      <c r="B11" s="60"/>
      <c r="C11" s="208">
        <f>HLOOKUP(Consumption!$E$2,'Countries Data'!$1:$1048576,27,FALSE)</f>
        <v>0.23539146313627027</v>
      </c>
      <c r="D11" s="32"/>
      <c r="E11" s="248">
        <f t="shared" si="0"/>
        <v>4452.6649166856887</v>
      </c>
      <c r="G11" s="3">
        <f>E11*Parameters!C$18</f>
        <v>397.56472510068812</v>
      </c>
      <c r="H11" s="3">
        <f>E11*Parameters!C$19</f>
        <v>331.15392647886142</v>
      </c>
      <c r="J11" s="174">
        <f t="shared" si="1"/>
        <v>5181.3835682652389</v>
      </c>
      <c r="K11" s="102">
        <f>E11/$E$18</f>
        <v>0.2353914631362703</v>
      </c>
    </row>
    <row r="12" spans="1:14" ht="5.25" customHeight="1" x14ac:dyDescent="0.2">
      <c r="A12" s="61"/>
      <c r="B12" s="61"/>
      <c r="C12" s="65"/>
      <c r="D12" s="65"/>
      <c r="E12" s="65"/>
      <c r="F12" s="65"/>
      <c r="G12" s="65"/>
      <c r="H12" s="65"/>
      <c r="I12" s="65"/>
      <c r="J12" s="175"/>
      <c r="K12" s="103"/>
      <c r="L12" s="65"/>
    </row>
    <row r="13" spans="1:14" x14ac:dyDescent="0.2">
      <c r="A13" s="60" t="s">
        <v>174</v>
      </c>
      <c r="B13" s="105">
        <f>Parameters!C9</f>
        <v>13929.492691315561</v>
      </c>
      <c r="C13" s="208">
        <f>HLOOKUP(Consumption!$E$2,'Countries Data'!$1:$1048576,28,FALSE)</f>
        <v>0.16699764132998554</v>
      </c>
      <c r="D13" s="32"/>
      <c r="E13" s="248">
        <f t="shared" si="0"/>
        <v>3158.9273833980064</v>
      </c>
      <c r="G13" s="3">
        <f>E13*Parameters!C$18</f>
        <v>282.0508886908267</v>
      </c>
      <c r="H13" s="3">
        <f>E13*Parameters!C$19</f>
        <v>234.93598239422349</v>
      </c>
      <c r="J13" s="174">
        <f>E13+G13+H13</f>
        <v>3675.914254483057</v>
      </c>
      <c r="K13" s="102">
        <f>E13/$E$18</f>
        <v>0.16699764132998554</v>
      </c>
      <c r="L13" s="70" t="s">
        <v>10</v>
      </c>
    </row>
    <row r="14" spans="1:14" x14ac:dyDescent="0.2">
      <c r="A14" s="60" t="s">
        <v>53</v>
      </c>
      <c r="B14" s="60"/>
      <c r="C14" s="208">
        <f>HLOOKUP(Consumption!$E$2,'Countries Data'!$1:$1048576,29,FALSE)</f>
        <v>4.5937000684775166E-2</v>
      </c>
      <c r="D14" s="32"/>
      <c r="E14" s="248">
        <f t="shared" si="0"/>
        <v>868.94430495320705</v>
      </c>
      <c r="G14" s="85" t="s">
        <v>15</v>
      </c>
      <c r="H14" s="3">
        <f>E14*Parameters!C$19</f>
        <v>64.625190500723249</v>
      </c>
      <c r="J14" s="174">
        <f>E14+H14</f>
        <v>933.56949545393036</v>
      </c>
      <c r="K14" s="102">
        <f>E14/$E$18</f>
        <v>4.5937000684775166E-2</v>
      </c>
      <c r="L14" s="71" t="s">
        <v>66</v>
      </c>
    </row>
    <row r="15" spans="1:14" x14ac:dyDescent="0.2">
      <c r="A15" s="60" t="s">
        <v>52</v>
      </c>
      <c r="B15" s="60"/>
      <c r="C15" s="208">
        <f>HLOOKUP(Consumption!$E$2,'Countries Data'!$1:$1048576,30,FALSE)</f>
        <v>1.5217225899718482E-4</v>
      </c>
      <c r="D15" s="32"/>
      <c r="E15" s="248">
        <f t="shared" si="0"/>
        <v>2.8784904511907481</v>
      </c>
      <c r="G15" s="226" t="s">
        <v>15</v>
      </c>
      <c r="H15" s="5">
        <f>E15*Parameters!C$19</f>
        <v>0.21407930600653666</v>
      </c>
      <c r="J15" s="168">
        <f>E15+H15</f>
        <v>3.0925697571972846</v>
      </c>
      <c r="K15" s="102">
        <f>E15/$E$18</f>
        <v>1.5217225899718482E-4</v>
      </c>
      <c r="L15" s="72">
        <f>SUM(J13:J17)/J18</f>
        <v>0.23185707891284302</v>
      </c>
    </row>
    <row r="16" spans="1:14" x14ac:dyDescent="0.2">
      <c r="A16" s="60" t="s">
        <v>108</v>
      </c>
      <c r="B16" s="60"/>
      <c r="C16" s="208">
        <f>HLOOKUP(Consumption!$E$2,'Countries Data'!$1:$1048576,31,FALSE)</f>
        <v>0</v>
      </c>
      <c r="D16" s="32"/>
      <c r="E16" s="248">
        <f t="shared" si="0"/>
        <v>0</v>
      </c>
      <c r="G16" s="5">
        <f>E16*Parameters!C$18</f>
        <v>0</v>
      </c>
      <c r="H16" s="5">
        <f>E16*Parameters!C$19</f>
        <v>0</v>
      </c>
      <c r="J16" s="168">
        <f t="shared" si="1"/>
        <v>0</v>
      </c>
      <c r="K16" s="102">
        <f>E16/$E$18</f>
        <v>0</v>
      </c>
      <c r="L16" s="77"/>
    </row>
    <row r="17" spans="1:12" ht="13.5" thickBot="1" x14ac:dyDescent="0.25">
      <c r="A17" s="60" t="s">
        <v>82</v>
      </c>
      <c r="B17" s="60"/>
      <c r="C17" s="208">
        <f>HLOOKUP(Consumption!$E$2,'Countries Data'!$1:$1048576,32,FALSE)</f>
        <v>2.1486722970402494E-2</v>
      </c>
      <c r="D17" s="32"/>
      <c r="E17" s="249">
        <f t="shared" si="0"/>
        <v>406.44285170813356</v>
      </c>
      <c r="G17" s="4">
        <f>E17*Parameters!C$18</f>
        <v>36.290029371615127</v>
      </c>
      <c r="H17" s="4">
        <f>E17*Parameters!C$19</f>
        <v>30.22799800812297</v>
      </c>
      <c r="J17" s="176">
        <f>E17+G17+H17</f>
        <v>472.96087908787166</v>
      </c>
      <c r="K17" s="102">
        <f>E17/$E$18</f>
        <v>2.1486722970402494E-2</v>
      </c>
      <c r="L17" s="77"/>
    </row>
    <row r="18" spans="1:12" x14ac:dyDescent="0.2">
      <c r="C18" s="180"/>
      <c r="D18" s="181"/>
      <c r="E18" s="177">
        <f>SUM(E7:E17)</f>
        <v>18916</v>
      </c>
      <c r="G18" s="177">
        <f>SUM(G7:G17)</f>
        <v>1611.1089615413662</v>
      </c>
      <c r="H18" s="177">
        <f>SUM(H7:H17)</f>
        <v>1406.8221594219556</v>
      </c>
      <c r="J18" s="177">
        <f>SUM(J7:J17)</f>
        <v>21933.931120963327</v>
      </c>
    </row>
    <row r="19" spans="1:12" x14ac:dyDescent="0.2">
      <c r="C19" s="178" t="s">
        <v>67</v>
      </c>
      <c r="D19" s="178"/>
      <c r="E19" s="179">
        <f>H4-E18</f>
        <v>0</v>
      </c>
    </row>
    <row r="21" spans="1:12" x14ac:dyDescent="0.2">
      <c r="A21" s="80"/>
    </row>
    <row r="22" spans="1:12" x14ac:dyDescent="0.2">
      <c r="A22" s="80" t="s">
        <v>54</v>
      </c>
    </row>
    <row r="24" spans="1:12" x14ac:dyDescent="0.2">
      <c r="A24" s="198" t="str">
        <f>Consumption!A32</f>
        <v>Free parameters are in red. Everything else is calculated.</v>
      </c>
      <c r="K24" s="84"/>
    </row>
  </sheetData>
  <sheetProtection password="CC16" sheet="1" objects="1" scenarios="1"/>
  <protectedRanges>
    <protectedRange sqref="E7:E9 E11 E13:E17" name="Rango1"/>
  </protectedRanges>
  <phoneticPr fontId="3" type="noConversion"/>
  <conditionalFormatting sqref="L13">
    <cfRule type="expression" dxfId="0" priority="1" stopIfTrue="1">
      <formula>$E$13&gt;#REF!</formula>
    </cfRule>
  </conditionalFormatting>
  <printOptions horizontalCentered="1"/>
  <pageMargins left="0.78740157480314965" right="0.59055118110236227" top="0.78740157480314965" bottom="0.78740157480314965" header="0" footer="0"/>
  <pageSetup paperSize="9"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4">
    <pageSetUpPr fitToPage="1"/>
  </sheetPr>
  <dimension ref="A1:S39"/>
  <sheetViews>
    <sheetView workbookViewId="0">
      <selection activeCell="G5" sqref="G5"/>
    </sheetView>
  </sheetViews>
  <sheetFormatPr baseColWidth="10" defaultRowHeight="12.75" x14ac:dyDescent="0.2"/>
  <cols>
    <col min="1" max="1" width="4.5703125" customWidth="1"/>
    <col min="2" max="2" width="15" customWidth="1"/>
    <col min="3" max="3" width="11.7109375" customWidth="1"/>
    <col min="4" max="4" width="13.28515625" customWidth="1"/>
    <col min="5" max="5" width="1.28515625" style="18" customWidth="1"/>
    <col min="6" max="6" width="8.5703125" customWidth="1"/>
    <col min="7" max="8" width="11" customWidth="1"/>
    <col min="9" max="9" width="1.28515625" style="18" customWidth="1"/>
    <col min="10" max="10" width="5.42578125" style="112" customWidth="1"/>
    <col min="11" max="11" width="1.28515625" customWidth="1"/>
    <col min="12" max="12" width="12.28515625" style="9" customWidth="1"/>
    <col min="13" max="13" width="16.85546875" customWidth="1"/>
    <col min="14" max="14" width="1.5703125" style="18" customWidth="1"/>
    <col min="15" max="15" width="6.28515625" customWidth="1"/>
    <col min="16" max="16" width="9.7109375" customWidth="1"/>
    <col min="17" max="17" width="7.140625" customWidth="1"/>
    <col min="18" max="18" width="6.42578125" customWidth="1"/>
    <col min="19" max="19" width="6" customWidth="1"/>
  </cols>
  <sheetData>
    <row r="1" spans="1:19" ht="18.75" thickBot="1" x14ac:dyDescent="0.3">
      <c r="A1" s="212" t="s">
        <v>51</v>
      </c>
      <c r="B1" s="214"/>
      <c r="C1" s="215" t="str">
        <f>Consumption!E2</f>
        <v>Spain</v>
      </c>
      <c r="D1" s="214"/>
      <c r="E1" s="214"/>
      <c r="F1" s="216"/>
      <c r="S1" s="225" t="s">
        <v>104</v>
      </c>
    </row>
    <row r="2" spans="1:19" ht="18" x14ac:dyDescent="0.25">
      <c r="A2" s="205"/>
      <c r="C2" s="205"/>
      <c r="G2" s="21"/>
      <c r="S2" s="273" t="s">
        <v>173</v>
      </c>
    </row>
    <row r="3" spans="1:19" x14ac:dyDescent="0.2">
      <c r="D3" s="10"/>
      <c r="E3" s="20"/>
      <c r="F3" s="254"/>
      <c r="G3" s="254"/>
      <c r="H3" s="254"/>
      <c r="I3" s="97"/>
      <c r="J3" s="113"/>
      <c r="L3" s="37"/>
      <c r="M3" s="10"/>
      <c r="N3" s="20"/>
      <c r="O3" s="10"/>
    </row>
    <row r="4" spans="1:19" x14ac:dyDescent="0.2">
      <c r="D4" s="10"/>
      <c r="E4" s="20"/>
      <c r="F4" s="258" t="s">
        <v>125</v>
      </c>
      <c r="G4" s="258"/>
      <c r="H4" s="258"/>
      <c r="I4" s="97"/>
      <c r="J4" s="204" t="s">
        <v>101</v>
      </c>
      <c r="L4" s="259" t="s">
        <v>87</v>
      </c>
      <c r="M4" s="259"/>
      <c r="N4" s="118"/>
      <c r="O4" s="10"/>
    </row>
    <row r="5" spans="1:19" x14ac:dyDescent="0.2">
      <c r="C5" s="1" t="s">
        <v>2</v>
      </c>
      <c r="D5" s="11" t="s">
        <v>1</v>
      </c>
      <c r="E5" s="40"/>
      <c r="F5" s="93" t="s">
        <v>20</v>
      </c>
      <c r="G5" s="37" t="s">
        <v>17</v>
      </c>
      <c r="H5" s="182" t="s">
        <v>170</v>
      </c>
      <c r="I5" s="183"/>
      <c r="J5" s="224" t="s">
        <v>19</v>
      </c>
      <c r="O5" s="10"/>
    </row>
    <row r="6" spans="1:19" x14ac:dyDescent="0.2">
      <c r="A6" s="27" t="s">
        <v>129</v>
      </c>
      <c r="B6" s="27"/>
      <c r="C6" s="33">
        <f>Consumption!L6+Consumption!L23</f>
        <v>1833</v>
      </c>
      <c r="D6" s="43">
        <f>C6*Parameters!$C$16</f>
        <v>21317.79</v>
      </c>
      <c r="E6" s="41"/>
      <c r="F6" s="94">
        <v>899</v>
      </c>
      <c r="G6" s="92">
        <f>F6*Parameters!C$23</f>
        <v>629.29999999999995</v>
      </c>
      <c r="H6" s="184">
        <f t="shared" ref="H6:H11" si="0">G6*D6/10^6</f>
        <v>13.415285247</v>
      </c>
      <c r="I6" s="185"/>
      <c r="J6" s="114"/>
      <c r="L6" s="255" t="s">
        <v>73</v>
      </c>
      <c r="M6" s="255"/>
      <c r="N6" s="20"/>
      <c r="O6" s="10"/>
      <c r="Q6" s="239" t="s">
        <v>132</v>
      </c>
      <c r="R6" s="240">
        <f>1000*'Balance - CO2'!H25/Parameters!C29</f>
        <v>9.6294047392237694</v>
      </c>
      <c r="S6" s="140" t="s">
        <v>110</v>
      </c>
    </row>
    <row r="7" spans="1:19" x14ac:dyDescent="0.2">
      <c r="A7" s="28" t="s">
        <v>37</v>
      </c>
      <c r="B7" s="28"/>
      <c r="C7" s="34">
        <f>Consumption!L7+Consumption!L14+Consumption!L15+Consumption!L16+Consumption!L24</f>
        <v>47858</v>
      </c>
      <c r="D7" s="44">
        <f>C7*Parameters!$C$16</f>
        <v>556588.54</v>
      </c>
      <c r="E7" s="41"/>
      <c r="F7" s="95">
        <v>622</v>
      </c>
      <c r="G7" s="44">
        <f>F7*Parameters!C$23</f>
        <v>435.4</v>
      </c>
      <c r="H7" s="186">
        <f t="shared" si="0"/>
        <v>242.33865031600001</v>
      </c>
      <c r="I7" s="185"/>
      <c r="J7" s="114"/>
      <c r="L7" s="256" t="str">
        <f>L6</f>
        <v>Extract, or buy</v>
      </c>
      <c r="M7" s="256"/>
      <c r="N7" s="20"/>
      <c r="O7" s="10"/>
      <c r="Q7" s="239" t="s">
        <v>133</v>
      </c>
      <c r="R7" s="240">
        <f>10^6*'Balance - CO2'!H25/Parameters!C30</f>
        <v>380.22559756674605</v>
      </c>
      <c r="S7" s="140" t="s">
        <v>109</v>
      </c>
    </row>
    <row r="8" spans="1:19" x14ac:dyDescent="0.2">
      <c r="A8" s="29" t="s">
        <v>38</v>
      </c>
      <c r="B8" s="29"/>
      <c r="C8" s="35">
        <f>Consumption!L8+Consumption!L25</f>
        <v>15322</v>
      </c>
      <c r="D8" s="45">
        <f>C8*Parameters!$C$16</f>
        <v>178194.86000000002</v>
      </c>
      <c r="E8" s="41"/>
      <c r="F8" s="96">
        <v>386</v>
      </c>
      <c r="G8" s="45">
        <f>F8*Parameters!C$23</f>
        <v>270.2</v>
      </c>
      <c r="H8" s="187">
        <f t="shared" si="0"/>
        <v>48.148251172000002</v>
      </c>
      <c r="I8" s="185"/>
      <c r="J8" s="114"/>
      <c r="L8" s="257" t="str">
        <f>L6</f>
        <v>Extract, or buy</v>
      </c>
      <c r="M8" s="257"/>
      <c r="N8" s="20"/>
      <c r="O8" s="10"/>
    </row>
    <row r="9" spans="1:19" ht="12.75" customHeight="1" x14ac:dyDescent="0.2">
      <c r="A9" s="68" t="s">
        <v>9</v>
      </c>
      <c r="B9" s="269" t="s">
        <v>129</v>
      </c>
      <c r="C9" s="62">
        <f>'Electricity Production'!J7</f>
        <v>6257.1853412188293</v>
      </c>
      <c r="D9" s="227">
        <f>C9*Parameters!$C$16</f>
        <v>72771.065518374991</v>
      </c>
      <c r="E9" s="41"/>
      <c r="G9" s="91">
        <v>899</v>
      </c>
      <c r="H9" s="188">
        <f t="shared" si="0"/>
        <v>65.421187901019124</v>
      </c>
      <c r="I9" s="185"/>
      <c r="J9" s="114"/>
      <c r="L9" s="67"/>
      <c r="M9" s="17"/>
      <c r="N9" s="20"/>
      <c r="O9" s="10"/>
    </row>
    <row r="10" spans="1:19" ht="12.75" customHeight="1" x14ac:dyDescent="0.2">
      <c r="A10" s="31"/>
      <c r="B10" s="31" t="s">
        <v>38</v>
      </c>
      <c r="C10" s="62">
        <f>'Electricity Production'!J8</f>
        <v>3399.9087556385766</v>
      </c>
      <c r="D10" s="227">
        <f>C10*Parameters!$C$16</f>
        <v>39540.938828076651</v>
      </c>
      <c r="E10" s="41"/>
      <c r="G10" s="17">
        <v>386</v>
      </c>
      <c r="H10" s="188">
        <f t="shared" si="0"/>
        <v>15.262802387637587</v>
      </c>
      <c r="I10" s="185"/>
      <c r="J10" s="114"/>
      <c r="L10" s="67">
        <f>ROUNDUP((D9+D10+D11)/1000/Parameters!C5,0)</f>
        <v>20</v>
      </c>
      <c r="M10" s="86" t="s">
        <v>75</v>
      </c>
      <c r="N10" s="119"/>
      <c r="O10" s="10"/>
    </row>
    <row r="11" spans="1:19" ht="12.75" customHeight="1" x14ac:dyDescent="0.2">
      <c r="A11" s="31"/>
      <c r="B11" s="31" t="s">
        <v>37</v>
      </c>
      <c r="C11" s="62">
        <f>'Electricity Production'!J9</f>
        <v>2009.9162570586218</v>
      </c>
      <c r="D11" s="227">
        <f>C11*Parameters!$C$16</f>
        <v>23375.326069591774</v>
      </c>
      <c r="E11" s="41"/>
      <c r="G11" s="17">
        <v>622</v>
      </c>
      <c r="H11" s="188">
        <f t="shared" si="0"/>
        <v>14.539452815286083</v>
      </c>
      <c r="I11" s="185"/>
      <c r="J11" s="114"/>
      <c r="L11" s="87"/>
      <c r="M11" s="17"/>
      <c r="N11" s="20"/>
      <c r="O11" s="10"/>
    </row>
    <row r="12" spans="1:19" ht="3.75" customHeight="1" x14ac:dyDescent="0.2">
      <c r="A12" s="39"/>
      <c r="B12" s="39"/>
      <c r="C12" s="52">
        <f>'Electricity Production'!E10</f>
        <v>0</v>
      </c>
      <c r="D12" s="228"/>
      <c r="E12" s="41"/>
      <c r="G12" s="20"/>
      <c r="H12" s="185"/>
      <c r="I12" s="185"/>
      <c r="J12" s="114"/>
      <c r="L12" s="42"/>
      <c r="M12" s="20"/>
      <c r="N12" s="20"/>
      <c r="O12" s="10"/>
    </row>
    <row r="13" spans="1:19" ht="12.75" customHeight="1" x14ac:dyDescent="0.2">
      <c r="A13" s="31"/>
      <c r="B13" s="31" t="s">
        <v>69</v>
      </c>
      <c r="C13" s="62">
        <f>'Electricity Production'!J11</f>
        <v>5181.3835682652389</v>
      </c>
      <c r="D13" s="227">
        <f>C13*Parameters!$C$16</f>
        <v>60259.490898924734</v>
      </c>
      <c r="E13" s="41"/>
      <c r="G13" s="17">
        <v>8</v>
      </c>
      <c r="H13" s="188">
        <f>G13*D13/10^6</f>
        <v>0.48207592719139786</v>
      </c>
      <c r="I13" s="185"/>
      <c r="J13" s="114"/>
      <c r="L13" s="67">
        <f>ROUNDUP(D13/1000/Parameters!C6,0)</f>
        <v>7</v>
      </c>
      <c r="M13" s="17" t="s">
        <v>74</v>
      </c>
      <c r="N13" s="20"/>
      <c r="O13" s="10"/>
    </row>
    <row r="14" spans="1:19" ht="3.75" customHeight="1" x14ac:dyDescent="0.2">
      <c r="A14" s="39"/>
      <c r="B14" s="39"/>
      <c r="C14" s="52"/>
      <c r="D14" s="228"/>
      <c r="E14" s="41"/>
      <c r="G14" s="20"/>
      <c r="H14" s="185"/>
      <c r="I14" s="185"/>
      <c r="J14" s="114"/>
      <c r="L14" s="42"/>
      <c r="M14" s="20"/>
      <c r="N14" s="20"/>
      <c r="O14" s="10"/>
    </row>
    <row r="15" spans="1:19" ht="12.75" customHeight="1" x14ac:dyDescent="0.2">
      <c r="A15" s="31"/>
      <c r="B15" s="269" t="s">
        <v>160</v>
      </c>
      <c r="C15" s="62">
        <f>'Electricity Production'!J13</f>
        <v>3675.914254483057</v>
      </c>
      <c r="D15" s="227">
        <f>C15*Parameters!$C$16</f>
        <v>42750.882779637956</v>
      </c>
      <c r="E15" s="73"/>
      <c r="G15" s="17">
        <v>10</v>
      </c>
      <c r="H15" s="188">
        <f>G15*D15/10^6</f>
        <v>0.42750882779637955</v>
      </c>
      <c r="I15" s="185"/>
      <c r="L15" s="88">
        <f>D15/Parameters!C8/1000</f>
        <v>0.26389433814591329</v>
      </c>
      <c r="M15" s="86" t="s">
        <v>159</v>
      </c>
      <c r="N15" s="20"/>
      <c r="O15" s="121">
        <f>L16/Parameters!C28</f>
        <v>0.23065299765530217</v>
      </c>
      <c r="P15" s="122" t="s">
        <v>77</v>
      </c>
      <c r="Q15" s="128"/>
      <c r="R15" s="128"/>
      <c r="S15" s="128"/>
    </row>
    <row r="16" spans="1:19" ht="12.75" customHeight="1" x14ac:dyDescent="0.2">
      <c r="A16" s="31"/>
      <c r="B16" s="31" t="s">
        <v>53</v>
      </c>
      <c r="C16" s="62">
        <f>'Electricity Production'!J14</f>
        <v>933.56949545393036</v>
      </c>
      <c r="D16" s="227">
        <f>C16*Parameters!$C$16</f>
        <v>10857.413232129211</v>
      </c>
      <c r="E16" s="73"/>
      <c r="G16" s="17">
        <v>7</v>
      </c>
      <c r="H16" s="188">
        <f>G16*D16/10^6</f>
        <v>7.6001892624904477E-2</v>
      </c>
      <c r="I16" s="185"/>
      <c r="J16" s="115">
        <f>IF('Electricity Production'!K14&lt;Parameters!$G$5,0,('Electricity Production'!K14-Parameters!$G$5)/(1-Parameters!$G$5))</f>
        <v>0</v>
      </c>
      <c r="K16" s="104">
        <f>1-J16*(1-Parameters!$C$21)</f>
        <v>1</v>
      </c>
      <c r="L16" s="125">
        <f>D16/Parameters!C14/K16</f>
        <v>2285.7712067640446</v>
      </c>
      <c r="M16" s="120" t="s">
        <v>151</v>
      </c>
      <c r="N16" s="120"/>
      <c r="O16" s="123">
        <f>L16/Parameters!C32</f>
        <v>5.7035911936421914E-2</v>
      </c>
      <c r="P16" s="268" t="s">
        <v>156</v>
      </c>
      <c r="Q16" s="129"/>
      <c r="R16" s="129"/>
      <c r="S16" s="129"/>
    </row>
    <row r="17" spans="1:19" ht="12.75" customHeight="1" x14ac:dyDescent="0.2">
      <c r="A17" s="31"/>
      <c r="B17" s="31" t="s">
        <v>52</v>
      </c>
      <c r="C17" s="62">
        <f>'Electricity Production'!J15</f>
        <v>3.0925697571972846</v>
      </c>
      <c r="D17" s="227">
        <f>C17*Parameters!$C$16</f>
        <v>35.966586276204424</v>
      </c>
      <c r="E17" s="73"/>
      <c r="G17" s="17">
        <v>5</v>
      </c>
      <c r="H17" s="188">
        <f>G17*D17/10^6</f>
        <v>1.7983293138102213E-4</v>
      </c>
      <c r="I17" s="185"/>
      <c r="J17" s="115">
        <f>IF('Electricity Production'!K15&lt;Parameters!$G$5,0,('Electricity Production'!K15-Parameters!$G$5)/(1-Parameters!$G$5))</f>
        <v>0</v>
      </c>
      <c r="K17" s="104">
        <f>1-J17*(1-Parameters!$C$21)</f>
        <v>1</v>
      </c>
      <c r="L17" s="67">
        <f>D17/Parameters!C12/K17</f>
        <v>0.23977724184136281</v>
      </c>
      <c r="M17" s="17" t="s">
        <v>76</v>
      </c>
      <c r="N17" s="17"/>
      <c r="O17" s="124">
        <f>L17/Parameters!C26</f>
        <v>4.751404290964199E-7</v>
      </c>
      <c r="P17" s="122" t="str">
        <f>CONCATENATE("of ",$C$1)</f>
        <v>of Spain</v>
      </c>
      <c r="Q17" s="121">
        <f>L17/Parameters!C$27</f>
        <v>1.2962263250894027E-6</v>
      </c>
      <c r="R17" s="122" t="str">
        <f>R23</f>
        <v>of cultivated lands</v>
      </c>
      <c r="S17" s="128"/>
    </row>
    <row r="18" spans="1:19" ht="12.75" customHeight="1" x14ac:dyDescent="0.2">
      <c r="A18" s="31"/>
      <c r="B18" s="31" t="s">
        <v>108</v>
      </c>
      <c r="C18" s="62">
        <f>'Electricity Production'!J16</f>
        <v>0</v>
      </c>
      <c r="D18" s="227">
        <f>C18*Parameters!$C$16</f>
        <v>0</v>
      </c>
      <c r="E18" s="73"/>
      <c r="G18" s="17">
        <v>57</v>
      </c>
      <c r="H18" s="188">
        <f>G18*D18/10^6</f>
        <v>0</v>
      </c>
      <c r="I18" s="185"/>
      <c r="J18" s="114"/>
      <c r="K18" s="104"/>
      <c r="L18"/>
      <c r="N18"/>
    </row>
    <row r="19" spans="1:19" ht="3.75" customHeight="1" x14ac:dyDescent="0.2">
      <c r="A19" s="39"/>
      <c r="B19" s="39"/>
      <c r="C19" s="52"/>
      <c r="D19" s="228"/>
      <c r="E19" s="73"/>
      <c r="G19" s="20"/>
      <c r="H19" s="185"/>
      <c r="I19" s="185"/>
      <c r="J19" s="114"/>
      <c r="L19" s="42"/>
      <c r="M19" s="20"/>
      <c r="N19" s="20"/>
      <c r="O19" s="79"/>
    </row>
    <row r="20" spans="1:19" ht="12.75" customHeight="1" x14ac:dyDescent="0.2">
      <c r="A20" s="31"/>
      <c r="B20" s="31" t="s">
        <v>70</v>
      </c>
      <c r="C20" s="62">
        <f>'Electricity Production'!J17</f>
        <v>472.96087908787166</v>
      </c>
      <c r="D20" s="227">
        <f>C20*Parameters!$C$16</f>
        <v>5500.5350237919474</v>
      </c>
      <c r="E20" s="73"/>
      <c r="G20" s="7">
        <v>0</v>
      </c>
      <c r="H20" s="189">
        <f>G20*D20/10^6</f>
        <v>0</v>
      </c>
      <c r="I20" s="185"/>
      <c r="J20" s="114"/>
      <c r="L20" s="89">
        <f>(D21+D20)/Parameters!C11</f>
        <v>7992.6037559479873</v>
      </c>
      <c r="M20" s="264" t="s">
        <v>147</v>
      </c>
      <c r="N20" s="7"/>
      <c r="O20" s="126">
        <f>L20/Parameters!C26</f>
        <v>1.5838071824645021E-2</v>
      </c>
      <c r="P20" s="127" t="str">
        <f>CONCATENATE("of ",$C$1)</f>
        <v>of Spain</v>
      </c>
      <c r="Q20" s="130"/>
      <c r="R20" s="127"/>
      <c r="S20" s="131"/>
    </row>
    <row r="21" spans="1:19" x14ac:dyDescent="0.2">
      <c r="A21" s="30" t="s">
        <v>70</v>
      </c>
      <c r="B21" s="30"/>
      <c r="C21" s="36">
        <f>Consumption!L17+Consumption!L26</f>
        <v>2276</v>
      </c>
      <c r="D21" s="46">
        <f>C21*Parameters!$C$16</f>
        <v>26469.88</v>
      </c>
      <c r="E21" s="73"/>
      <c r="G21" s="7">
        <v>0</v>
      </c>
      <c r="H21" s="189">
        <f>G21*D21/10^6</f>
        <v>0</v>
      </c>
      <c r="I21" s="185"/>
      <c r="J21" s="114"/>
      <c r="L21" s="89"/>
      <c r="M21" s="7"/>
      <c r="N21" s="20"/>
    </row>
    <row r="22" spans="1:19" ht="3.75" customHeight="1" x14ac:dyDescent="0.2">
      <c r="A22" s="40"/>
      <c r="B22" s="40"/>
      <c r="C22" s="52"/>
      <c r="D22" s="19"/>
      <c r="E22" s="73"/>
      <c r="G22" s="20"/>
      <c r="H22" s="185"/>
      <c r="I22" s="185"/>
      <c r="J22" s="114"/>
      <c r="L22" s="42"/>
      <c r="M22" s="20"/>
      <c r="N22" s="20"/>
      <c r="O22" s="79"/>
    </row>
    <row r="23" spans="1:19" x14ac:dyDescent="0.2">
      <c r="A23" s="30" t="s">
        <v>71</v>
      </c>
      <c r="B23" s="30"/>
      <c r="C23" s="36">
        <f>Consumption!L18</f>
        <v>0</v>
      </c>
      <c r="D23" s="46">
        <f>C23*11.62</f>
        <v>0</v>
      </c>
      <c r="E23" s="73"/>
      <c r="G23" s="7">
        <v>0</v>
      </c>
      <c r="H23" s="189">
        <f>G23*D23/10^6</f>
        <v>0</v>
      </c>
      <c r="I23" s="185"/>
      <c r="J23" s="114"/>
      <c r="L23" s="132">
        <f>D23/Parameters!C10</f>
        <v>0</v>
      </c>
      <c r="M23" s="133" t="s">
        <v>105</v>
      </c>
      <c r="N23" s="133"/>
      <c r="O23" s="134">
        <f>L23/Parameters!C26</f>
        <v>0</v>
      </c>
      <c r="P23" s="135" t="str">
        <f>CONCATENATE("of ",$C$1)</f>
        <v>of Spain</v>
      </c>
      <c r="Q23" s="130">
        <f>L23/Parameters!C$27</f>
        <v>0</v>
      </c>
      <c r="R23" s="265" t="s">
        <v>148</v>
      </c>
      <c r="S23" s="131"/>
    </row>
    <row r="24" spans="1:19" ht="13.5" thickBot="1" x14ac:dyDescent="0.25">
      <c r="A24" s="30" t="s">
        <v>72</v>
      </c>
      <c r="B24" s="30"/>
      <c r="C24" s="53">
        <f>Consumption!L28</f>
        <v>0</v>
      </c>
      <c r="D24" s="54">
        <f>C24*11.62</f>
        <v>0</v>
      </c>
      <c r="E24" s="73"/>
      <c r="G24" s="7">
        <v>5</v>
      </c>
      <c r="H24" s="194">
        <f>G24*D24/10^6</f>
        <v>0</v>
      </c>
      <c r="I24" s="185"/>
      <c r="J24" s="114"/>
      <c r="L24" s="89">
        <f>D24/Parameters!C13</f>
        <v>0</v>
      </c>
      <c r="M24" s="7" t="s">
        <v>106</v>
      </c>
      <c r="N24" s="7"/>
      <c r="O24" s="126">
        <f>L24/Parameters!C26</f>
        <v>0</v>
      </c>
      <c r="P24" s="127" t="str">
        <f>CONCATENATE("of ",$C$1)</f>
        <v>of Spain</v>
      </c>
    </row>
    <row r="25" spans="1:19" x14ac:dyDescent="0.2">
      <c r="C25" s="190">
        <f>SUM(C6:C24)</f>
        <v>89222.931120963331</v>
      </c>
      <c r="D25" s="190">
        <f>SUM(D6:D24)</f>
        <v>1037662.6889368036</v>
      </c>
      <c r="E25" s="73"/>
      <c r="F25" s="55"/>
      <c r="G25" s="55"/>
      <c r="H25" s="274">
        <f>SUM(H6:H20)</f>
        <v>400.11139631948686</v>
      </c>
      <c r="I25" s="191"/>
      <c r="J25" s="116"/>
      <c r="L25" s="90"/>
      <c r="M25" s="10"/>
      <c r="N25" s="20"/>
    </row>
    <row r="26" spans="1:19" x14ac:dyDescent="0.2">
      <c r="B26" s="47"/>
      <c r="E26" s="73"/>
      <c r="G26" s="275" t="s">
        <v>115</v>
      </c>
      <c r="H26" s="276">
        <f>HLOOKUP(Consumption!E2,'Countries Data'!1:1048576,41,FALSE)</f>
        <v>402</v>
      </c>
      <c r="I26" s="192"/>
      <c r="M26" s="138" t="s">
        <v>88</v>
      </c>
      <c r="P26" s="10"/>
    </row>
    <row r="27" spans="1:19" x14ac:dyDescent="0.2">
      <c r="E27" s="73"/>
      <c r="G27" s="275" t="s">
        <v>91</v>
      </c>
      <c r="H27" s="277">
        <f>(H25-H26)/H26</f>
        <v>-4.6980191057540855E-3</v>
      </c>
      <c r="I27" s="193"/>
      <c r="J27" s="117"/>
      <c r="M27" s="267" t="s">
        <v>152</v>
      </c>
      <c r="P27" s="78">
        <f>Parameters!C27</f>
        <v>184981</v>
      </c>
      <c r="Q27" s="48" t="s">
        <v>12</v>
      </c>
    </row>
    <row r="28" spans="1:19" x14ac:dyDescent="0.2">
      <c r="C28" s="74" t="s">
        <v>66</v>
      </c>
      <c r="D28" s="75">
        <f>SUM(D15:D24)/D25</f>
        <v>8.2507233356878928E-2</v>
      </c>
      <c r="E28" s="73"/>
      <c r="M28" s="136" t="s">
        <v>153</v>
      </c>
      <c r="P28" s="78">
        <f>L20</f>
        <v>7992.6037559479873</v>
      </c>
      <c r="Q28" s="48" t="s">
        <v>12</v>
      </c>
    </row>
    <row r="29" spans="1:19" x14ac:dyDescent="0.2">
      <c r="C29" s="76" t="s">
        <v>157</v>
      </c>
      <c r="D29" s="266">
        <v>0.12</v>
      </c>
      <c r="E29" s="20"/>
      <c r="M29" s="136" t="s">
        <v>158</v>
      </c>
      <c r="P29" s="78">
        <f>L23</f>
        <v>0</v>
      </c>
      <c r="Q29" s="48" t="s">
        <v>12</v>
      </c>
    </row>
    <row r="30" spans="1:19" x14ac:dyDescent="0.2">
      <c r="E30" s="38"/>
      <c r="M30" s="136" t="s">
        <v>68</v>
      </c>
      <c r="P30" s="137">
        <f>L17</f>
        <v>0.23977724184136281</v>
      </c>
      <c r="Q30" s="48" t="s">
        <v>12</v>
      </c>
    </row>
    <row r="31" spans="1:19" x14ac:dyDescent="0.2">
      <c r="A31" s="272" t="s">
        <v>169</v>
      </c>
      <c r="E31" s="38"/>
      <c r="N31"/>
      <c r="O31" s="18"/>
      <c r="P31" s="139">
        <f>SUM(P27:P30)</f>
        <v>192973.84353318982</v>
      </c>
      <c r="Q31" s="140" t="s">
        <v>12</v>
      </c>
    </row>
    <row r="32" spans="1:19" x14ac:dyDescent="0.2">
      <c r="A32" s="80" t="s">
        <v>22</v>
      </c>
      <c r="N32"/>
      <c r="O32" s="18"/>
      <c r="P32" s="141">
        <f>P31/Parameters!C26</f>
        <v>0.38239523533016245</v>
      </c>
      <c r="Q32" s="140" t="str">
        <f>CONCATENATE("of ",$C$1)</f>
        <v>of Spain</v>
      </c>
    </row>
    <row r="33" spans="1:15" x14ac:dyDescent="0.2">
      <c r="A33" s="80" t="s">
        <v>155</v>
      </c>
      <c r="B33" s="83"/>
      <c r="N33" s="142"/>
      <c r="O33" s="18"/>
    </row>
    <row r="34" spans="1:15" x14ac:dyDescent="0.2">
      <c r="A34" s="80" t="s">
        <v>128</v>
      </c>
      <c r="B34" s="83"/>
    </row>
    <row r="35" spans="1:15" x14ac:dyDescent="0.2">
      <c r="C35" s="48"/>
    </row>
    <row r="36" spans="1:15" x14ac:dyDescent="0.2">
      <c r="C36" s="48"/>
    </row>
    <row r="37" spans="1:15" x14ac:dyDescent="0.2">
      <c r="B37" s="83"/>
      <c r="E37"/>
    </row>
    <row r="38" spans="1:15" x14ac:dyDescent="0.2">
      <c r="B38" s="83"/>
      <c r="E38"/>
    </row>
    <row r="39" spans="1:15" x14ac:dyDescent="0.2">
      <c r="E39"/>
    </row>
  </sheetData>
  <sheetProtection password="CC16" sheet="1" objects="1" scenarios="1"/>
  <mergeCells count="6">
    <mergeCell ref="F3:H3"/>
    <mergeCell ref="L6:M6"/>
    <mergeCell ref="L7:M7"/>
    <mergeCell ref="L8:M8"/>
    <mergeCell ref="F4:H4"/>
    <mergeCell ref="L4:M4"/>
  </mergeCells>
  <phoneticPr fontId="3" type="noConversion"/>
  <printOptions horizontalCentered="1"/>
  <pageMargins left="0.78740157480314965" right="0.59055118110236227" top="0.78740157480314965" bottom="0.78740157480314965" header="0" footer="0"/>
  <pageSetup paperSize="9" scale="97" orientation="landscape" horizontalDpi="300" verticalDpi="300" r:id="rId1"/>
  <headerFooter alignWithMargins="0"/>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
    <pageSetUpPr fitToPage="1"/>
  </sheetPr>
  <dimension ref="A1:K35"/>
  <sheetViews>
    <sheetView workbookViewId="0">
      <selection activeCell="F32" sqref="F32"/>
    </sheetView>
  </sheetViews>
  <sheetFormatPr baseColWidth="10" defaultRowHeight="12.75" x14ac:dyDescent="0.2"/>
  <cols>
    <col min="2" max="2" width="20.85546875" customWidth="1"/>
    <col min="3" max="3" width="13.5703125" customWidth="1"/>
    <col min="4" max="4" width="13.42578125" customWidth="1"/>
    <col min="8" max="8" width="15.5703125" customWidth="1"/>
  </cols>
  <sheetData>
    <row r="1" spans="1:8" ht="18.75" thickBot="1" x14ac:dyDescent="0.3">
      <c r="A1" s="212" t="s">
        <v>51</v>
      </c>
      <c r="B1" s="214"/>
      <c r="C1" s="215" t="str">
        <f>Consumption!E2</f>
        <v>Spain</v>
      </c>
      <c r="D1" s="216"/>
    </row>
    <row r="4" spans="1:8" ht="13.5" thickBot="1" x14ac:dyDescent="0.25">
      <c r="A4" s="49" t="s">
        <v>146</v>
      </c>
      <c r="B4" s="50"/>
      <c r="C4" s="50"/>
      <c r="D4" s="50"/>
      <c r="F4" s="49" t="s">
        <v>98</v>
      </c>
    </row>
    <row r="5" spans="1:8" x14ac:dyDescent="0.2">
      <c r="A5" s="51" t="s">
        <v>89</v>
      </c>
      <c r="B5" s="51"/>
      <c r="C5" s="244">
        <f>0.8*24*365/1000</f>
        <v>7.0080000000000009</v>
      </c>
      <c r="D5" s="51" t="s">
        <v>149</v>
      </c>
      <c r="F5" s="51" t="s">
        <v>123</v>
      </c>
      <c r="G5" s="247">
        <v>0.2</v>
      </c>
    </row>
    <row r="6" spans="1:8" x14ac:dyDescent="0.2">
      <c r="A6" s="51" t="s">
        <v>90</v>
      </c>
      <c r="B6" s="51"/>
      <c r="C6" s="244">
        <f>1*24*365/1000</f>
        <v>8.76</v>
      </c>
      <c r="D6" s="51" t="s">
        <v>149</v>
      </c>
    </row>
    <row r="7" spans="1:8" ht="4.5" customHeight="1" x14ac:dyDescent="0.2">
      <c r="A7" s="51"/>
      <c r="B7" s="51"/>
      <c r="C7" s="196"/>
      <c r="D7" s="51"/>
    </row>
    <row r="8" spans="1:8" x14ac:dyDescent="0.2">
      <c r="A8" s="51" t="s">
        <v>145</v>
      </c>
      <c r="B8" s="51"/>
      <c r="C8" s="52">
        <f>HLOOKUP(Consumption!E2,'Countries Data'!1:1048576,37,FALSE)</f>
        <v>162</v>
      </c>
      <c r="D8" s="51" t="s">
        <v>149</v>
      </c>
      <c r="G8" s="99">
        <v>0</v>
      </c>
      <c r="H8" s="98">
        <v>0</v>
      </c>
    </row>
    <row r="9" spans="1:8" x14ac:dyDescent="0.2">
      <c r="C9" s="52">
        <f>C8*10^6/C16/1000</f>
        <v>13929.492691315561</v>
      </c>
      <c r="D9" s="51" t="s">
        <v>2</v>
      </c>
      <c r="G9" s="99">
        <f>G5</f>
        <v>0.2</v>
      </c>
      <c r="H9" s="98">
        <v>0</v>
      </c>
    </row>
    <row r="10" spans="1:8" x14ac:dyDescent="0.2">
      <c r="A10" s="51" t="s">
        <v>99</v>
      </c>
      <c r="B10" s="51"/>
      <c r="C10" s="245">
        <v>1</v>
      </c>
      <c r="D10" s="51" t="s">
        <v>143</v>
      </c>
      <c r="G10" s="99">
        <v>1</v>
      </c>
      <c r="H10" s="98">
        <v>1</v>
      </c>
    </row>
    <row r="11" spans="1:8" x14ac:dyDescent="0.2">
      <c r="A11" s="51" t="s">
        <v>100</v>
      </c>
      <c r="B11" s="51"/>
      <c r="C11" s="245">
        <v>4</v>
      </c>
      <c r="D11" s="51" t="s">
        <v>143</v>
      </c>
    </row>
    <row r="12" spans="1:8" x14ac:dyDescent="0.2">
      <c r="A12" s="51" t="s">
        <v>162</v>
      </c>
      <c r="B12" s="51"/>
      <c r="C12" s="245">
        <v>150</v>
      </c>
      <c r="D12" s="51" t="s">
        <v>143</v>
      </c>
    </row>
    <row r="13" spans="1:8" x14ac:dyDescent="0.2">
      <c r="A13" s="51" t="s">
        <v>79</v>
      </c>
      <c r="B13" s="51"/>
      <c r="C13" s="245">
        <v>600</v>
      </c>
      <c r="D13" s="51" t="s">
        <v>143</v>
      </c>
    </row>
    <row r="14" spans="1:8" x14ac:dyDescent="0.2">
      <c r="A14" s="51" t="s">
        <v>53</v>
      </c>
      <c r="B14" s="51"/>
      <c r="C14" s="245">
        <v>4.75</v>
      </c>
      <c r="D14" s="51" t="s">
        <v>144</v>
      </c>
    </row>
    <row r="15" spans="1:8" x14ac:dyDescent="0.2">
      <c r="A15" s="51"/>
      <c r="B15" s="51"/>
      <c r="C15" s="196"/>
      <c r="D15" s="51"/>
      <c r="F15" s="10"/>
    </row>
    <row r="16" spans="1:8" x14ac:dyDescent="0.2">
      <c r="A16" s="51" t="s">
        <v>163</v>
      </c>
      <c r="B16" s="10"/>
      <c r="C16" s="51">
        <f>41868/3600</f>
        <v>11.63</v>
      </c>
      <c r="D16" s="51" t="s">
        <v>11</v>
      </c>
      <c r="E16" s="10"/>
      <c r="F16" s="10"/>
    </row>
    <row r="17" spans="1:11" x14ac:dyDescent="0.2">
      <c r="A17" s="51"/>
      <c r="B17" s="10"/>
      <c r="C17" s="69"/>
      <c r="D17" s="51"/>
      <c r="E17" s="10"/>
      <c r="F17" s="10"/>
    </row>
    <row r="18" spans="1:11" x14ac:dyDescent="0.2">
      <c r="A18" s="48" t="s">
        <v>61</v>
      </c>
      <c r="B18" s="48"/>
      <c r="C18" s="209">
        <f>HLOOKUP(Consumption!E2,'Countries Data'!1:1048576,33,FALSE)</f>
        <v>8.928691750660922E-2</v>
      </c>
      <c r="E18" s="10"/>
      <c r="F18" s="10"/>
    </row>
    <row r="19" spans="1:11" x14ac:dyDescent="0.2">
      <c r="A19" s="48" t="s">
        <v>116</v>
      </c>
      <c r="B19" s="48"/>
      <c r="C19" s="209">
        <f>HLOOKUP(Consumption!E2,'Countries Data'!1:1048576,34,FALSE)</f>
        <v>7.4372074403782809E-2</v>
      </c>
      <c r="D19" s="51"/>
    </row>
    <row r="20" spans="1:11" x14ac:dyDescent="0.2">
      <c r="A20" s="51"/>
      <c r="B20" s="51"/>
      <c r="C20" s="196"/>
      <c r="D20" s="51"/>
    </row>
    <row r="21" spans="1:11" x14ac:dyDescent="0.2">
      <c r="A21" s="51" t="s">
        <v>164</v>
      </c>
      <c r="B21" s="51"/>
      <c r="C21" s="246">
        <v>0.3</v>
      </c>
    </row>
    <row r="23" spans="1:11" x14ac:dyDescent="0.2">
      <c r="A23" s="51" t="s">
        <v>126</v>
      </c>
      <c r="C23" s="271">
        <v>0.7</v>
      </c>
    </row>
    <row r="24" spans="1:11" x14ac:dyDescent="0.2">
      <c r="H24" s="100" t="s">
        <v>122</v>
      </c>
    </row>
    <row r="25" spans="1:11" ht="13.5" thickBot="1" x14ac:dyDescent="0.25">
      <c r="A25" s="49" t="s">
        <v>161</v>
      </c>
      <c r="B25" s="50"/>
      <c r="C25" s="50"/>
      <c r="D25" s="50"/>
    </row>
    <row r="26" spans="1:11" x14ac:dyDescent="0.2">
      <c r="A26" s="48" t="s">
        <v>41</v>
      </c>
      <c r="C26" s="78">
        <f>HLOOKUP(Consumption!E2,'Countries Data'!1:1048576,38,FALSE)</f>
        <v>504645</v>
      </c>
      <c r="D26" s="48" t="s">
        <v>12</v>
      </c>
    </row>
    <row r="27" spans="1:11" x14ac:dyDescent="0.2">
      <c r="A27" s="219" t="s">
        <v>137</v>
      </c>
      <c r="C27" s="78">
        <f>HLOOKUP(Consumption!E2,'Countries Data'!1:1048576,39,FALSE)</f>
        <v>184981</v>
      </c>
      <c r="D27" s="48" t="s">
        <v>12</v>
      </c>
    </row>
    <row r="28" spans="1:11" x14ac:dyDescent="0.2">
      <c r="A28" s="48" t="s">
        <v>127</v>
      </c>
      <c r="C28" s="78">
        <f>HLOOKUP(Consumption!E2,'Countries Data'!1:1048576,40,FALSE)</f>
        <v>9910</v>
      </c>
      <c r="D28" s="48" t="s">
        <v>13</v>
      </c>
      <c r="E28" s="81"/>
    </row>
    <row r="29" spans="1:11" x14ac:dyDescent="0.2">
      <c r="A29" s="48" t="s">
        <v>93</v>
      </c>
      <c r="C29" s="78">
        <f>HLOOKUP(Consumption!E2,'Countries Data'!1:1048576,43,FALSE)</f>
        <v>41551</v>
      </c>
      <c r="I29" s="81"/>
      <c r="J29" s="81"/>
      <c r="K29" s="81"/>
    </row>
    <row r="30" spans="1:11" x14ac:dyDescent="0.2">
      <c r="A30" s="219" t="s">
        <v>150</v>
      </c>
      <c r="C30" s="78">
        <f>HLOOKUP(Consumption!E2,'Countries Data'!1:1048576,44,FALSE)</f>
        <v>1052300</v>
      </c>
    </row>
    <row r="32" spans="1:11" x14ac:dyDescent="0.2">
      <c r="A32" s="267" t="s">
        <v>156</v>
      </c>
      <c r="C32" s="78">
        <v>40076</v>
      </c>
      <c r="D32" s="48" t="s">
        <v>13</v>
      </c>
      <c r="E32" s="80"/>
    </row>
    <row r="35" spans="1:1" x14ac:dyDescent="0.2">
      <c r="A35" s="198" t="str">
        <f>Consumption!A32</f>
        <v>Free parameters are in red. Everything else is calculated.</v>
      </c>
    </row>
  </sheetData>
  <sheetProtection password="CC16" sheet="1" objects="1" scenarios="1"/>
  <protectedRanges>
    <protectedRange sqref="C5:C6 C10:C14 C21 C23 G5" name="Rango1"/>
  </protectedRanges>
  <phoneticPr fontId="3" type="noConversion"/>
  <printOptions horizontalCentered="1"/>
  <pageMargins left="0.78740157480314965" right="0.59055118110236227" top="0.78740157480314965" bottom="0.78740157480314965" header="0" footer="0"/>
  <pageSetup paperSize="9" orientation="landscape" horizontalDpi="300" verticalDpi="300" r:id="rId1"/>
  <headerFooter alignWithMargins="0"/>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V56"/>
  <sheetViews>
    <sheetView workbookViewId="0">
      <pane xSplit="1" ySplit="1" topLeftCell="B2" activePane="bottomRight" state="frozen"/>
      <selection pane="topRight" activeCell="B1" sqref="B1"/>
      <selection pane="bottomLeft" activeCell="A2" sqref="A2"/>
      <selection pane="bottomRight" activeCell="A37" sqref="A37:XFD37"/>
    </sheetView>
  </sheetViews>
  <sheetFormatPr baseColWidth="10" defaultColWidth="8.7109375" defaultRowHeight="11.25" x14ac:dyDescent="0.2"/>
  <cols>
    <col min="1" max="1" width="27.85546875" style="78" customWidth="1"/>
    <col min="2" max="14" width="8.7109375" style="78" customWidth="1"/>
    <col min="15" max="15" width="10.85546875" style="78" customWidth="1"/>
    <col min="16" max="16384" width="8.7109375" style="78"/>
  </cols>
  <sheetData>
    <row r="1" spans="1:15" s="217" customFormat="1" ht="12" thickBot="1" x14ac:dyDescent="0.25">
      <c r="B1" s="218" t="s">
        <v>23</v>
      </c>
      <c r="C1" s="218" t="s">
        <v>25</v>
      </c>
      <c r="D1" s="218" t="s">
        <v>29</v>
      </c>
      <c r="E1" s="218" t="s">
        <v>26</v>
      </c>
      <c r="F1" s="218" t="s">
        <v>28</v>
      </c>
      <c r="G1" s="218" t="s">
        <v>31</v>
      </c>
      <c r="H1" s="218" t="s">
        <v>30</v>
      </c>
      <c r="I1" s="218" t="s">
        <v>33</v>
      </c>
      <c r="J1" s="218" t="s">
        <v>107</v>
      </c>
      <c r="K1" s="218" t="s">
        <v>34</v>
      </c>
      <c r="L1" s="218" t="s">
        <v>32</v>
      </c>
      <c r="M1" s="218" t="s">
        <v>24</v>
      </c>
      <c r="N1" s="218" t="s">
        <v>27</v>
      </c>
      <c r="O1" s="218" t="s">
        <v>94</v>
      </c>
    </row>
    <row r="2" spans="1:15" x14ac:dyDescent="0.2">
      <c r="A2" s="210" t="s">
        <v>35</v>
      </c>
    </row>
    <row r="3" spans="1:15" s="220" customFormat="1" x14ac:dyDescent="0.2">
      <c r="A3" s="219" t="s">
        <v>129</v>
      </c>
      <c r="B3" s="220">
        <v>4439</v>
      </c>
      <c r="C3" s="220">
        <v>1751</v>
      </c>
      <c r="D3" s="220">
        <v>8746</v>
      </c>
      <c r="E3" s="220">
        <v>174</v>
      </c>
      <c r="F3" s="220">
        <v>3236</v>
      </c>
      <c r="G3" s="220">
        <v>3816</v>
      </c>
      <c r="H3" s="220">
        <v>2210</v>
      </c>
      <c r="I3" s="220">
        <v>637</v>
      </c>
      <c r="J3" s="220">
        <v>41</v>
      </c>
      <c r="K3" s="220">
        <v>597</v>
      </c>
      <c r="L3" s="220">
        <v>1208</v>
      </c>
      <c r="M3" s="220">
        <v>59924.553862561217</v>
      </c>
      <c r="N3" s="220">
        <f>11.88*(80/323.76)*1000</f>
        <v>2935.5077835433658</v>
      </c>
      <c r="O3" s="220">
        <v>524602</v>
      </c>
    </row>
    <row r="4" spans="1:15" s="220" customFormat="1" x14ac:dyDescent="0.2">
      <c r="A4" s="219" t="s">
        <v>37</v>
      </c>
      <c r="B4" s="220">
        <v>6349</v>
      </c>
      <c r="C4" s="220">
        <v>6669</v>
      </c>
      <c r="D4" s="220">
        <v>6403</v>
      </c>
      <c r="E4" s="220">
        <v>780</v>
      </c>
      <c r="F4" s="220">
        <v>7045</v>
      </c>
      <c r="G4" s="220">
        <v>7302</v>
      </c>
      <c r="H4" s="220">
        <v>1994</v>
      </c>
      <c r="I4" s="220">
        <v>1458</v>
      </c>
      <c r="J4" s="220">
        <v>713</v>
      </c>
      <c r="K4" s="220">
        <v>1960</v>
      </c>
      <c r="L4" s="220">
        <v>1573</v>
      </c>
      <c r="M4" s="220">
        <v>100306.61252607648</v>
      </c>
      <c r="N4" s="220">
        <f>69.72*(80/323.76)*1000</f>
        <v>17227.575982209044</v>
      </c>
      <c r="O4" s="220">
        <v>59018</v>
      </c>
    </row>
    <row r="5" spans="1:15" s="220" customFormat="1" x14ac:dyDescent="0.2">
      <c r="A5" s="219" t="s">
        <v>38</v>
      </c>
      <c r="B5" s="220">
        <v>12699</v>
      </c>
      <c r="C5" s="220">
        <v>11626</v>
      </c>
      <c r="D5" s="220">
        <v>19183</v>
      </c>
      <c r="E5" s="220">
        <v>764</v>
      </c>
      <c r="F5" s="220">
        <v>13323</v>
      </c>
      <c r="G5" s="220">
        <v>16851</v>
      </c>
      <c r="H5" s="220">
        <v>4386</v>
      </c>
      <c r="I5" s="220">
        <v>2113</v>
      </c>
      <c r="J5" s="220">
        <v>437</v>
      </c>
      <c r="K5" s="220">
        <v>328</v>
      </c>
      <c r="L5" s="220">
        <v>314</v>
      </c>
      <c r="M5" s="220">
        <v>134633.52417050686</v>
      </c>
      <c r="N5" s="220">
        <f>92.64*(80/323.76)*1000</f>
        <v>22891.030392883618</v>
      </c>
      <c r="O5" s="220">
        <v>17904</v>
      </c>
    </row>
    <row r="6" spans="1:15" s="220" customFormat="1" x14ac:dyDescent="0.2">
      <c r="A6" s="219" t="s">
        <v>39</v>
      </c>
      <c r="B6" s="220">
        <v>1335</v>
      </c>
      <c r="C6" s="220">
        <v>1343</v>
      </c>
      <c r="E6" s="220">
        <v>161</v>
      </c>
      <c r="F6" s="220">
        <v>223</v>
      </c>
      <c r="G6" s="220">
        <v>191</v>
      </c>
      <c r="H6" s="220">
        <v>256</v>
      </c>
      <c r="I6" s="220">
        <v>618</v>
      </c>
      <c r="J6" s="220">
        <v>106</v>
      </c>
      <c r="K6" s="220">
        <v>202</v>
      </c>
      <c r="L6" s="220">
        <v>4172</v>
      </c>
      <c r="M6" s="220">
        <v>28276.088186230183</v>
      </c>
      <c r="N6" s="220">
        <f>30.36*(80/323.76)*1000</f>
        <v>7501.8532246108225</v>
      </c>
    </row>
    <row r="7" spans="1:15" s="220" customFormat="1" x14ac:dyDescent="0.2">
      <c r="A7" s="219" t="s">
        <v>40</v>
      </c>
      <c r="B7" s="220">
        <v>11429</v>
      </c>
      <c r="C7" s="220">
        <v>8456</v>
      </c>
      <c r="D7" s="220">
        <v>19930</v>
      </c>
      <c r="E7" s="220">
        <v>836</v>
      </c>
      <c r="F7" s="220">
        <v>9796</v>
      </c>
      <c r="G7" s="220">
        <v>12413</v>
      </c>
      <c r="H7" s="220">
        <v>3437</v>
      </c>
      <c r="I7" s="220">
        <v>2110</v>
      </c>
      <c r="J7" s="220">
        <v>610</v>
      </c>
      <c r="K7" s="220">
        <v>1217</v>
      </c>
      <c r="L7" s="220">
        <v>4782</v>
      </c>
      <c r="M7" s="220">
        <v>91573.019538892229</v>
      </c>
      <c r="N7" s="220">
        <f>75.36*(80/323.76)*1000</f>
        <v>18621.200889547814</v>
      </c>
      <c r="O7" s="220">
        <v>90388</v>
      </c>
    </row>
    <row r="8" spans="1:15" s="137" customFormat="1" x14ac:dyDescent="0.2">
      <c r="A8" s="211"/>
    </row>
    <row r="9" spans="1:15" s="220" customFormat="1" x14ac:dyDescent="0.2">
      <c r="A9" s="221" t="s">
        <v>21</v>
      </c>
    </row>
    <row r="10" spans="1:15" s="220" customFormat="1" x14ac:dyDescent="0.2">
      <c r="A10" s="220" t="s">
        <v>63</v>
      </c>
      <c r="B10" s="220">
        <v>6490</v>
      </c>
      <c r="C10" s="220">
        <v>4506</v>
      </c>
      <c r="D10" s="220">
        <v>7148</v>
      </c>
      <c r="E10" s="220">
        <v>761</v>
      </c>
      <c r="F10" s="220">
        <v>11034</v>
      </c>
      <c r="G10" s="220">
        <v>3597</v>
      </c>
      <c r="H10" s="220">
        <v>1553</v>
      </c>
      <c r="I10" s="220">
        <v>507</v>
      </c>
      <c r="J10" s="220">
        <v>764</v>
      </c>
      <c r="K10" s="220">
        <v>1162</v>
      </c>
      <c r="L10" s="220">
        <v>700</v>
      </c>
      <c r="M10" s="220">
        <v>79037.855163258107</v>
      </c>
      <c r="N10" s="220">
        <v>5608.2796313688405</v>
      </c>
      <c r="O10" s="220">
        <v>6089</v>
      </c>
    </row>
    <row r="11" spans="1:15" s="220" customFormat="1" x14ac:dyDescent="0.2">
      <c r="A11" s="220" t="s">
        <v>0</v>
      </c>
      <c r="B11" s="220">
        <v>30435</v>
      </c>
      <c r="C11" s="220">
        <v>22773</v>
      </c>
      <c r="D11" s="220">
        <v>26132</v>
      </c>
      <c r="E11" s="220">
        <v>2039</v>
      </c>
      <c r="F11" s="220">
        <v>19296</v>
      </c>
      <c r="G11" s="220">
        <v>20733</v>
      </c>
      <c r="H11" s="220">
        <v>6001</v>
      </c>
      <c r="I11" s="220">
        <v>4356</v>
      </c>
      <c r="J11" s="220">
        <v>1974</v>
      </c>
      <c r="K11" s="220">
        <v>2466</v>
      </c>
      <c r="L11" s="220">
        <v>2754</v>
      </c>
      <c r="M11" s="220">
        <v>138542.59210225727</v>
      </c>
      <c r="N11" s="220">
        <v>13141.266641433192</v>
      </c>
      <c r="O11" s="220">
        <v>36521</v>
      </c>
    </row>
    <row r="12" spans="1:15" s="220" customFormat="1" x14ac:dyDescent="0.2">
      <c r="A12" s="220" t="s">
        <v>96</v>
      </c>
      <c r="B12" s="220">
        <v>12757</v>
      </c>
      <c r="C12" s="220">
        <v>8461</v>
      </c>
      <c r="D12" s="220">
        <v>26949</v>
      </c>
      <c r="E12" s="220">
        <v>2017</v>
      </c>
      <c r="F12" s="220">
        <v>20980</v>
      </c>
      <c r="G12" s="220">
        <v>16198</v>
      </c>
      <c r="H12" s="220">
        <v>2214</v>
      </c>
      <c r="I12" s="220">
        <v>2224</v>
      </c>
      <c r="J12" s="220">
        <v>1665</v>
      </c>
      <c r="K12" s="220">
        <v>3836</v>
      </c>
      <c r="L12" s="220">
        <v>4318</v>
      </c>
      <c r="M12" s="220">
        <v>398786.39246368565</v>
      </c>
      <c r="N12" s="220">
        <v>34801.232081534508</v>
      </c>
      <c r="O12" s="220">
        <v>39011</v>
      </c>
    </row>
    <row r="13" spans="1:15" s="220" customFormat="1" x14ac:dyDescent="0.2">
      <c r="A13" s="219" t="s">
        <v>134</v>
      </c>
      <c r="B13" s="220">
        <v>325</v>
      </c>
      <c r="C13" s="220">
        <v>209</v>
      </c>
      <c r="N13" s="220">
        <f>0.36*(80/323.76)*1000</f>
        <v>88.954781319495922</v>
      </c>
    </row>
    <row r="14" spans="1:15" s="220" customFormat="1" x14ac:dyDescent="0.2">
      <c r="A14" s="219" t="s">
        <v>40</v>
      </c>
      <c r="B14" s="220">
        <v>1034</v>
      </c>
      <c r="C14" s="220">
        <v>441</v>
      </c>
      <c r="D14" s="220">
        <v>1388</v>
      </c>
      <c r="E14" s="220">
        <v>30</v>
      </c>
      <c r="F14" s="220">
        <v>733</v>
      </c>
      <c r="G14" s="220">
        <v>773</v>
      </c>
      <c r="H14" s="220">
        <v>128</v>
      </c>
      <c r="I14" s="220">
        <v>268</v>
      </c>
      <c r="J14" s="220">
        <v>2</v>
      </c>
      <c r="K14" s="220">
        <v>20</v>
      </c>
      <c r="L14" s="220">
        <v>248</v>
      </c>
      <c r="M14" s="220">
        <v>380</v>
      </c>
      <c r="N14" s="220">
        <f>1.3*(80/323.76)*1000</f>
        <v>321.22559920929086</v>
      </c>
      <c r="O14" s="220">
        <v>1574</v>
      </c>
    </row>
    <row r="15" spans="1:15" s="137" customFormat="1" x14ac:dyDescent="0.2">
      <c r="A15" s="211"/>
    </row>
    <row r="16" spans="1:15" s="220" customFormat="1" x14ac:dyDescent="0.2">
      <c r="A16" s="221" t="s">
        <v>95</v>
      </c>
    </row>
    <row r="17" spans="1:15" s="220" customFormat="1" x14ac:dyDescent="0.2">
      <c r="A17" s="219" t="s">
        <v>129</v>
      </c>
      <c r="B17" s="220">
        <v>422</v>
      </c>
      <c r="C17" s="220">
        <v>82</v>
      </c>
      <c r="D17" s="220">
        <v>1047</v>
      </c>
      <c r="E17" s="220">
        <v>34</v>
      </c>
      <c r="F17" s="220">
        <v>887</v>
      </c>
      <c r="G17" s="220">
        <v>16</v>
      </c>
      <c r="H17" s="220">
        <v>171</v>
      </c>
      <c r="I17" s="220">
        <v>171</v>
      </c>
      <c r="J17" s="220">
        <v>461</v>
      </c>
      <c r="K17" s="220">
        <v>6</v>
      </c>
      <c r="M17" s="220">
        <v>2075.3092246774445</v>
      </c>
      <c r="O17" s="220">
        <v>148000</v>
      </c>
    </row>
    <row r="18" spans="1:15" s="220" customFormat="1" x14ac:dyDescent="0.2">
      <c r="A18" s="220" t="s">
        <v>64</v>
      </c>
      <c r="B18" s="220">
        <v>14748</v>
      </c>
      <c r="C18" s="220">
        <v>5449</v>
      </c>
      <c r="D18" s="220">
        <v>26957</v>
      </c>
      <c r="E18" s="220">
        <v>1268</v>
      </c>
      <c r="F18" s="220">
        <v>957</v>
      </c>
      <c r="G18" s="220">
        <v>6857</v>
      </c>
      <c r="H18" s="220">
        <v>5047</v>
      </c>
      <c r="I18" s="220">
        <v>2441</v>
      </c>
      <c r="J18" s="220">
        <v>1069</v>
      </c>
      <c r="K18" s="220">
        <v>4355</v>
      </c>
      <c r="L18" s="220">
        <v>2014</v>
      </c>
      <c r="M18" s="220">
        <v>61219.460347542241</v>
      </c>
      <c r="N18" s="220">
        <f>54.72*(80/323.76)*1000</f>
        <v>13521.12676056338</v>
      </c>
      <c r="O18" s="220">
        <v>31108</v>
      </c>
    </row>
    <row r="19" spans="1:15" s="220" customFormat="1" x14ac:dyDescent="0.2">
      <c r="A19" s="220" t="s">
        <v>65</v>
      </c>
      <c r="B19" s="220">
        <v>20274</v>
      </c>
      <c r="C19" s="220">
        <v>3696</v>
      </c>
      <c r="D19" s="220">
        <v>39665</v>
      </c>
      <c r="E19" s="220">
        <v>932</v>
      </c>
      <c r="F19" s="220">
        <v>37750</v>
      </c>
      <c r="G19" s="220">
        <v>23481</v>
      </c>
      <c r="H19" s="220">
        <v>5267</v>
      </c>
      <c r="I19" s="220">
        <v>2029</v>
      </c>
      <c r="J19" s="220">
        <v>841</v>
      </c>
      <c r="K19" s="220">
        <v>46</v>
      </c>
      <c r="L19" s="220">
        <v>140</v>
      </c>
      <c r="M19" s="220">
        <v>193003.75789500235</v>
      </c>
      <c r="N19" s="220">
        <f>105.72*(80/323.76)*1000</f>
        <v>26123.054114158633</v>
      </c>
      <c r="O19" s="220">
        <v>7318</v>
      </c>
    </row>
    <row r="20" spans="1:15" s="220" customFormat="1" x14ac:dyDescent="0.2">
      <c r="A20" s="220" t="s">
        <v>78</v>
      </c>
      <c r="B20" s="220">
        <v>8213</v>
      </c>
      <c r="C20" s="220">
        <v>2067</v>
      </c>
      <c r="D20" s="220">
        <v>4547</v>
      </c>
      <c r="E20" s="220">
        <v>555</v>
      </c>
      <c r="F20" s="220">
        <v>354</v>
      </c>
      <c r="G20" s="220">
        <v>1359</v>
      </c>
      <c r="H20" s="220">
        <v>193</v>
      </c>
      <c r="I20" s="220">
        <v>1861</v>
      </c>
      <c r="J20" s="220">
        <v>46</v>
      </c>
      <c r="K20" s="220">
        <v>713</v>
      </c>
      <c r="L20" s="220">
        <f>3682+973</f>
        <v>4655</v>
      </c>
      <c r="M20" s="220">
        <v>9598.3051641331822</v>
      </c>
      <c r="N20" s="220">
        <f>7.2*(80/323.76)*1000</f>
        <v>1779.0956263899184</v>
      </c>
      <c r="O20" s="220">
        <v>211295</v>
      </c>
    </row>
    <row r="21" spans="1:15" s="220" customFormat="1" x14ac:dyDescent="0.2">
      <c r="A21" s="220" t="s">
        <v>40</v>
      </c>
      <c r="B21" s="220">
        <v>22656</v>
      </c>
      <c r="C21" s="220">
        <v>10019</v>
      </c>
      <c r="D21" s="220">
        <v>22471</v>
      </c>
      <c r="E21" s="220">
        <f>1919+2297</f>
        <v>4216</v>
      </c>
      <c r="F21" s="220">
        <v>18486</v>
      </c>
      <c r="G21" s="220">
        <v>11832</v>
      </c>
      <c r="H21" s="220">
        <v>3286</v>
      </c>
      <c r="I21" s="220">
        <v>2839</v>
      </c>
      <c r="J21" s="220">
        <v>1368</v>
      </c>
      <c r="K21" s="220">
        <v>2941</v>
      </c>
      <c r="L21" s="220">
        <f>6129</f>
        <v>6129</v>
      </c>
      <c r="M21" s="220">
        <v>205715.02689615171</v>
      </c>
      <c r="N21" s="220">
        <f>101.52*(80/323.76)*1000</f>
        <v>25085.248332097846</v>
      </c>
      <c r="O21" s="220">
        <v>27682</v>
      </c>
    </row>
    <row r="22" spans="1:15" s="137" customFormat="1" x14ac:dyDescent="0.2">
      <c r="A22" s="211"/>
    </row>
    <row r="23" spans="1:15" s="220" customFormat="1" x14ac:dyDescent="0.2">
      <c r="A23" s="221" t="s">
        <v>59</v>
      </c>
    </row>
    <row r="24" spans="1:15" s="220" customFormat="1" x14ac:dyDescent="0.2">
      <c r="A24" s="220" t="s">
        <v>130</v>
      </c>
      <c r="B24" s="222">
        <v>4.2864768421860232E-2</v>
      </c>
      <c r="C24" s="222">
        <v>0.28426538841969107</v>
      </c>
      <c r="D24" s="222">
        <v>0.51101778417247001</v>
      </c>
      <c r="E24" s="229">
        <v>0.54775305221231274</v>
      </c>
      <c r="F24" s="222">
        <v>0.34861177657294162</v>
      </c>
      <c r="G24" s="222">
        <v>0.13497075453982738</v>
      </c>
      <c r="H24" s="222">
        <v>0.11699725654907864</v>
      </c>
      <c r="I24" s="222">
        <v>0.13345573106264441</v>
      </c>
      <c r="J24" s="222">
        <v>0.32617396473152366</v>
      </c>
      <c r="K24" s="222">
        <v>0.6014056568282089</v>
      </c>
      <c r="L24" s="222">
        <v>2.0203887011998135E-2</v>
      </c>
      <c r="M24" s="222">
        <v>0.51037070072434643</v>
      </c>
      <c r="N24" s="222">
        <v>0.19265531429155558</v>
      </c>
      <c r="O24" s="222">
        <v>0.79422759129781939</v>
      </c>
    </row>
    <row r="25" spans="1:15" s="220" customFormat="1" x14ac:dyDescent="0.2">
      <c r="A25" s="220" t="s">
        <v>43</v>
      </c>
      <c r="B25" s="222">
        <v>3.3671182384619025E-2</v>
      </c>
      <c r="C25" s="222">
        <v>0.15445864718861751</v>
      </c>
      <c r="D25" s="222">
        <v>0.10965767093529043</v>
      </c>
      <c r="E25" s="229">
        <v>0.21218287297601524</v>
      </c>
      <c r="F25" s="222">
        <v>0.37482536880595135</v>
      </c>
      <c r="G25" s="222">
        <v>0.40790635888804655</v>
      </c>
      <c r="H25" s="222">
        <v>0.26231518123770908</v>
      </c>
      <c r="I25" s="222">
        <v>0.19340951536830109</v>
      </c>
      <c r="J25" s="222">
        <v>0.51733703190013869</v>
      </c>
      <c r="K25" s="222">
        <v>0.1365983788775266</v>
      </c>
      <c r="L25" s="222">
        <v>1.3195733010031714E-2</v>
      </c>
      <c r="M25" s="222">
        <v>0.16422546876684668</v>
      </c>
      <c r="N25" s="222">
        <v>5.7798297995587396E-2</v>
      </c>
      <c r="O25" s="222">
        <v>2.9228514027589622E-3</v>
      </c>
    </row>
    <row r="26" spans="1:15" s="220" customFormat="1" x14ac:dyDescent="0.2">
      <c r="A26" s="220" t="s">
        <v>44</v>
      </c>
      <c r="B26" s="222">
        <v>1.4157665429863811E-2</v>
      </c>
      <c r="C26" s="222">
        <v>9.1310964011260751E-2</v>
      </c>
      <c r="D26" s="222">
        <v>7.7975601989319823E-3</v>
      </c>
      <c r="E26" s="229">
        <v>5.0761970733396833E-2</v>
      </c>
      <c r="F26" s="222">
        <v>1.7695120413567016E-2</v>
      </c>
      <c r="G26" s="222">
        <v>0.26423847047286536</v>
      </c>
      <c r="H26" s="222">
        <v>1.2224137512442642E-2</v>
      </c>
      <c r="I26" s="222">
        <v>2.7729416605995379E-2</v>
      </c>
      <c r="J26" s="222">
        <v>9.7206261145234799E-2</v>
      </c>
      <c r="K26" s="222">
        <v>0.14915010773282261</v>
      </c>
      <c r="L26" s="222">
        <v>2.855748830126191E-2</v>
      </c>
      <c r="M26" s="222">
        <v>3.3708085431716377E-2</v>
      </c>
      <c r="N26" s="222">
        <v>2.9664965798059478E-2</v>
      </c>
      <c r="O26" s="222">
        <v>3.010248591788544E-2</v>
      </c>
    </row>
    <row r="27" spans="1:15" s="220" customFormat="1" x14ac:dyDescent="0.2">
      <c r="A27" s="220" t="s">
        <v>45</v>
      </c>
      <c r="B27" s="222">
        <v>0.7199955599158343</v>
      </c>
      <c r="C27" s="222">
        <v>0.23539146313627027</v>
      </c>
      <c r="D27" s="222">
        <v>0.27519035416628462</v>
      </c>
      <c r="E27" s="229"/>
      <c r="F27" s="222">
        <v>0.22364392888664733</v>
      </c>
      <c r="G27" s="222"/>
      <c r="H27" s="222">
        <v>0.57514142125324719</v>
      </c>
      <c r="I27" s="222"/>
      <c r="J27" s="222"/>
      <c r="K27" s="222"/>
      <c r="L27" s="222">
        <v>0.49836993886346664</v>
      </c>
      <c r="M27" s="222">
        <v>0.1930491163757192</v>
      </c>
      <c r="N27" s="222">
        <v>0.12759410857731854</v>
      </c>
      <c r="O27" s="222">
        <v>2.2723269147691287E-2</v>
      </c>
    </row>
    <row r="28" spans="1:15" s="220" customFormat="1" x14ac:dyDescent="0.2">
      <c r="A28" s="220" t="s">
        <v>46</v>
      </c>
      <c r="B28" s="222">
        <v>0.10590416927167928</v>
      </c>
      <c r="C28" s="222">
        <v>0.16699764132998554</v>
      </c>
      <c r="D28" s="222">
        <v>4.0746711837053168E-2</v>
      </c>
      <c r="E28" s="229">
        <v>4.5458481253788209E-4</v>
      </c>
      <c r="F28" s="222">
        <v>1.5034674063800277E-2</v>
      </c>
      <c r="G28" s="222">
        <v>0.1539716099956184</v>
      </c>
      <c r="H28" s="222">
        <v>1.5975138993420575E-2</v>
      </c>
      <c r="I28" s="222">
        <v>0.60722990725206549</v>
      </c>
      <c r="J28" s="222">
        <v>3.7883891420645931E-2</v>
      </c>
      <c r="K28" s="222">
        <v>9.1179588905229314E-2</v>
      </c>
      <c r="L28" s="222">
        <v>0.39382424909995489</v>
      </c>
      <c r="M28" s="222">
        <v>7.4915460239357787E-2</v>
      </c>
      <c r="N28" s="222">
        <v>0.57529112112512881</v>
      </c>
      <c r="O28" s="222">
        <v>0.14872778632933903</v>
      </c>
    </row>
    <row r="29" spans="1:15" s="220" customFormat="1" x14ac:dyDescent="0.2">
      <c r="A29" s="220" t="s">
        <v>47</v>
      </c>
      <c r="B29" s="222">
        <v>5.5664290459858862E-4</v>
      </c>
      <c r="C29" s="222">
        <v>4.5937000684775166E-2</v>
      </c>
      <c r="D29" s="222">
        <v>3.1441990120089428E-2</v>
      </c>
      <c r="E29" s="229">
        <v>0.12037838773919819</v>
      </c>
      <c r="F29" s="222">
        <v>3.2404488715168326E-3</v>
      </c>
      <c r="G29" s="222">
        <v>5.0701404199383791E-3</v>
      </c>
      <c r="H29" s="222">
        <v>1.0925247031974557E-3</v>
      </c>
      <c r="I29" s="222">
        <v>5.7927890854990345E-3</v>
      </c>
      <c r="J29" s="222">
        <v>1.7990885674658213E-2</v>
      </c>
      <c r="K29" s="222">
        <v>1.7459557440404939E-2</v>
      </c>
      <c r="L29" s="222">
        <v>4.6647101004649921E-3</v>
      </c>
      <c r="M29" s="222">
        <v>2.7689834645129039E-3</v>
      </c>
      <c r="N29" s="222">
        <v>1.3936332427528515E-3</v>
      </c>
      <c r="O29" s="222"/>
    </row>
    <row r="30" spans="1:15" s="220" customFormat="1" x14ac:dyDescent="0.2">
      <c r="A30" s="220" t="s">
        <v>48</v>
      </c>
      <c r="B30" s="222">
        <v>1.3059071075626712E-5</v>
      </c>
      <c r="C30" s="222">
        <v>1.5217225899718482E-4</v>
      </c>
      <c r="D30" s="222">
        <v>5.5518228485019246E-4</v>
      </c>
      <c r="E30" s="229"/>
      <c r="F30" s="222">
        <v>7.5652502836968857E-6</v>
      </c>
      <c r="G30" s="222">
        <v>1.7387312825577431E-5</v>
      </c>
      <c r="H30" s="222"/>
      <c r="I30" s="222"/>
      <c r="J30" s="222"/>
      <c r="K30" s="222"/>
      <c r="L30" s="222">
        <v>2.2177702537868427E-5</v>
      </c>
      <c r="M30" s="222">
        <v>4.9008556894033694E-7</v>
      </c>
      <c r="N30" s="222">
        <v>3.918528677666942E-5</v>
      </c>
      <c r="O30" s="222"/>
    </row>
    <row r="31" spans="1:15" s="220" customFormat="1" x14ac:dyDescent="0.2">
      <c r="A31" s="219" t="s">
        <v>165</v>
      </c>
      <c r="D31" s="222"/>
      <c r="E31" s="229"/>
      <c r="F31" s="222"/>
      <c r="G31" s="222">
        <v>1.8573127560281812E-2</v>
      </c>
      <c r="H31" s="222"/>
      <c r="I31" s="222"/>
      <c r="J31" s="222"/>
      <c r="K31" s="222"/>
      <c r="L31" s="222">
        <v>0</v>
      </c>
      <c r="M31" s="222">
        <v>3.6437862050714056E-3</v>
      </c>
      <c r="N31" s="222">
        <v>0</v>
      </c>
      <c r="O31" s="222"/>
    </row>
    <row r="32" spans="1:15" s="137" customFormat="1" x14ac:dyDescent="0.2">
      <c r="A32" s="137" t="s">
        <v>49</v>
      </c>
      <c r="B32" s="230">
        <v>8.2836952600469152E-2</v>
      </c>
      <c r="C32" s="230">
        <v>2.1486722970402494E-2</v>
      </c>
      <c r="D32" s="230">
        <v>2.3592746285030251E-2</v>
      </c>
      <c r="E32" s="231">
        <v>6.8469131526539093E-2</v>
      </c>
      <c r="F32" s="230">
        <v>1.6941117135291891E-2</v>
      </c>
      <c r="G32" s="230">
        <v>1.5252150810596525E-2</v>
      </c>
      <c r="H32" s="230">
        <v>1.6254339750904366E-2</v>
      </c>
      <c r="I32" s="230">
        <v>3.2192713114494634E-2</v>
      </c>
      <c r="J32" s="230">
        <v>3.4079651277986924E-3</v>
      </c>
      <c r="K32" s="230">
        <v>4.2067102158076545E-3</v>
      </c>
      <c r="L32" s="230">
        <v>4.1161815910283804E-2</v>
      </c>
      <c r="M32" s="230">
        <v>1.7317908706860216E-2</v>
      </c>
      <c r="N32" s="230">
        <v>1.556337368282066E-2</v>
      </c>
      <c r="O32" s="230">
        <v>1.2960159045058573E-3</v>
      </c>
    </row>
    <row r="33" spans="1:22" s="220" customFormat="1" x14ac:dyDescent="0.2">
      <c r="A33" s="220" t="s">
        <v>61</v>
      </c>
      <c r="B33" s="222">
        <v>5.8458394957456306E-2</v>
      </c>
      <c r="C33" s="222">
        <f>22527/252299</f>
        <v>8.928691750660922E-2</v>
      </c>
      <c r="D33" s="222">
        <f>26968/564671</f>
        <v>4.7758783433184987E-2</v>
      </c>
      <c r="E33" s="222">
        <f>2151/43817</f>
        <v>4.9090535636853276E-2</v>
      </c>
      <c r="F33" s="222">
        <f>30822/380381</f>
        <v>8.1029283797035084E-2</v>
      </c>
      <c r="G33" s="222">
        <f>20870/280783</f>
        <v>7.4327861729520661E-2</v>
      </c>
      <c r="H33" s="222">
        <f>3757/80807</f>
        <v>4.6493496850520379E-2</v>
      </c>
      <c r="I33" s="222">
        <f>2970/61674</f>
        <v>4.8156435450919348E-2</v>
      </c>
      <c r="J33" s="222">
        <f>2022/24085</f>
        <v>8.3952667635457751E-2</v>
      </c>
      <c r="K33" s="222">
        <f>4959/54344</f>
        <v>9.1252024142499638E-2</v>
      </c>
      <c r="L33" s="222">
        <f>10458/132510</f>
        <v>7.8922345483359746E-2</v>
      </c>
      <c r="M33" s="222">
        <f>284570/4081468</f>
        <v>6.9722462604141444E-2</v>
      </c>
      <c r="N33" s="222">
        <f>33423/587007</f>
        <v>5.6937992221557834E-2</v>
      </c>
      <c r="O33" s="222">
        <f>123931/1907384</f>
        <v>6.4974331335483568E-2</v>
      </c>
      <c r="P33" s="222"/>
      <c r="Q33" s="222"/>
      <c r="R33" s="222"/>
      <c r="S33" s="222"/>
      <c r="T33" s="222"/>
      <c r="U33" s="222"/>
      <c r="V33" s="222"/>
    </row>
    <row r="34" spans="1:22" s="220" customFormat="1" x14ac:dyDescent="0.2">
      <c r="A34" s="48" t="s">
        <v>116</v>
      </c>
      <c r="B34" s="222">
        <v>0.1025161083305979</v>
      </c>
      <c r="C34" s="222">
        <f>18764/252299</f>
        <v>7.4372074403782809E-2</v>
      </c>
      <c r="D34" s="222">
        <f>54792/564671</f>
        <v>9.7033493839775734E-2</v>
      </c>
      <c r="E34" s="222">
        <f>3134/43817</f>
        <v>7.1524750667549125E-2</v>
      </c>
      <c r="F34" s="222">
        <f>29781/380381</f>
        <v>7.8292554044497489E-2</v>
      </c>
      <c r="G34" s="222">
        <f>22507/280783</f>
        <v>8.0157986772703471E-2</v>
      </c>
      <c r="H34" s="222">
        <f>6525/80807</f>
        <v>8.0747955003898184E-2</v>
      </c>
      <c r="I34" s="222">
        <f>3118/61674</f>
        <v>5.055615007945001E-2</v>
      </c>
      <c r="J34" s="222">
        <f>1475/24085</f>
        <v>6.1241436578783476E-2</v>
      </c>
      <c r="K34" s="222">
        <f>6451/54344</f>
        <v>0.11870675695568968</v>
      </c>
      <c r="L34" s="222">
        <f>8112/132510</f>
        <v>6.1218021281412724E-2</v>
      </c>
      <c r="M34" s="222">
        <f>328561/4081468</f>
        <v>8.0500692397931339E-2</v>
      </c>
      <c r="N34" s="222">
        <f>42869/587007</f>
        <v>7.3029793511832058E-2</v>
      </c>
      <c r="O34" s="222">
        <f>293544/1907384</f>
        <v>0.15389874299039941</v>
      </c>
      <c r="P34" s="222"/>
      <c r="Q34" s="222"/>
      <c r="R34" s="222"/>
      <c r="S34" s="222"/>
      <c r="T34" s="222"/>
      <c r="U34" s="222"/>
      <c r="V34" s="222"/>
    </row>
    <row r="35" spans="1:22" s="137" customFormat="1" x14ac:dyDescent="0.2">
      <c r="A35" s="211"/>
    </row>
    <row r="36" spans="1:22" s="220" customFormat="1" x14ac:dyDescent="0.2">
      <c r="A36" s="221" t="s">
        <v>60</v>
      </c>
    </row>
    <row r="37" spans="1:22" s="220" customFormat="1" x14ac:dyDescent="0.2">
      <c r="A37" s="219" t="s">
        <v>140</v>
      </c>
      <c r="B37" s="220">
        <v>200</v>
      </c>
      <c r="C37" s="220">
        <v>162</v>
      </c>
      <c r="D37" s="220">
        <v>120</v>
      </c>
      <c r="E37" s="237">
        <v>0.12</v>
      </c>
      <c r="F37" s="220">
        <v>50</v>
      </c>
      <c r="G37" s="220">
        <v>190</v>
      </c>
      <c r="H37" s="262">
        <v>0.6</v>
      </c>
      <c r="I37" s="220">
        <v>90</v>
      </c>
      <c r="J37" s="262">
        <v>1.4</v>
      </c>
      <c r="K37" s="220">
        <v>80</v>
      </c>
      <c r="L37" s="220">
        <v>200</v>
      </c>
      <c r="M37" s="220">
        <f>500*24*365/1000</f>
        <v>4380</v>
      </c>
      <c r="N37" s="220">
        <v>2067</v>
      </c>
      <c r="O37" s="220">
        <f>6083</f>
        <v>6083</v>
      </c>
    </row>
    <row r="38" spans="1:22" s="220" customFormat="1" x14ac:dyDescent="0.2">
      <c r="A38" s="220" t="s">
        <v>50</v>
      </c>
      <c r="B38" s="220">
        <v>547030</v>
      </c>
      <c r="C38" s="220">
        <v>504645</v>
      </c>
      <c r="D38" s="220">
        <v>357021</v>
      </c>
      <c r="E38" s="220">
        <v>43094</v>
      </c>
      <c r="F38" s="220">
        <v>244820</v>
      </c>
      <c r="G38" s="220">
        <v>301230</v>
      </c>
      <c r="H38" s="220">
        <v>30528</v>
      </c>
      <c r="I38" s="220">
        <v>83870</v>
      </c>
      <c r="J38" s="220">
        <v>70280</v>
      </c>
      <c r="K38" s="220">
        <v>131940</v>
      </c>
      <c r="L38" s="220">
        <v>449964</v>
      </c>
      <c r="M38" s="220">
        <v>9631418</v>
      </c>
      <c r="N38" s="220">
        <v>9984670</v>
      </c>
      <c r="O38" s="220">
        <v>9598077</v>
      </c>
    </row>
    <row r="39" spans="1:22" s="220" customFormat="1" x14ac:dyDescent="0.2">
      <c r="A39" s="219" t="s">
        <v>138</v>
      </c>
      <c r="B39" s="219">
        <v>227155</v>
      </c>
      <c r="C39" s="219">
        <v>184981</v>
      </c>
      <c r="D39" s="219">
        <v>117793</v>
      </c>
      <c r="E39" s="219">
        <v>22376</v>
      </c>
      <c r="F39" s="219">
        <v>56604</v>
      </c>
      <c r="G39" s="219">
        <v>104377</v>
      </c>
      <c r="H39" s="219">
        <v>8511</v>
      </c>
      <c r="I39" s="219">
        <v>14378</v>
      </c>
      <c r="J39" s="219">
        <v>11608</v>
      </c>
      <c r="K39" s="219">
        <v>37985</v>
      </c>
      <c r="L39" s="219">
        <v>24409</v>
      </c>
      <c r="M39" s="219">
        <v>1669302</v>
      </c>
      <c r="N39" s="219">
        <v>474681</v>
      </c>
      <c r="O39" s="219">
        <v>1504350</v>
      </c>
    </row>
    <row r="40" spans="1:22" s="220" customFormat="1" x14ac:dyDescent="0.2">
      <c r="A40" s="220" t="s">
        <v>42</v>
      </c>
      <c r="B40" s="220">
        <v>10379</v>
      </c>
      <c r="C40" s="220">
        <v>9910</v>
      </c>
      <c r="D40" s="220">
        <v>12037</v>
      </c>
      <c r="E40" s="220">
        <v>1010</v>
      </c>
      <c r="F40" s="220">
        <v>3609</v>
      </c>
      <c r="G40" s="220">
        <v>6478</v>
      </c>
      <c r="H40" s="220">
        <v>1729</v>
      </c>
      <c r="I40" s="220">
        <v>1670</v>
      </c>
      <c r="J40" s="220">
        <v>176</v>
      </c>
      <c r="K40" s="220">
        <v>880</v>
      </c>
      <c r="L40" s="220">
        <v>30878</v>
      </c>
      <c r="M40" s="220">
        <v>89848</v>
      </c>
      <c r="N40" s="220">
        <v>16900</v>
      </c>
      <c r="O40" s="220">
        <v>104000</v>
      </c>
    </row>
    <row r="41" spans="1:22" s="220" customFormat="1" x14ac:dyDescent="0.2">
      <c r="A41" s="220" t="s">
        <v>124</v>
      </c>
      <c r="B41" s="220">
        <v>557</v>
      </c>
      <c r="C41" s="220">
        <v>402</v>
      </c>
      <c r="D41" s="220">
        <v>1017</v>
      </c>
      <c r="E41" s="220">
        <v>75.48</v>
      </c>
      <c r="F41" s="220">
        <v>651</v>
      </c>
      <c r="G41" s="220">
        <v>569</v>
      </c>
      <c r="H41" s="220">
        <v>147</v>
      </c>
      <c r="I41" s="220">
        <v>91</v>
      </c>
      <c r="J41" s="220">
        <v>66.569999999999993</v>
      </c>
      <c r="K41" s="220">
        <v>137</v>
      </c>
      <c r="L41" s="220">
        <v>70</v>
      </c>
      <c r="M41" s="220">
        <v>6893</v>
      </c>
      <c r="N41" s="220">
        <v>740</v>
      </c>
      <c r="O41" s="220">
        <v>4057</v>
      </c>
    </row>
    <row r="42" spans="1:22" s="220" customFormat="1" x14ac:dyDescent="0.2">
      <c r="A42" s="220" t="s">
        <v>117</v>
      </c>
      <c r="B42" s="220">
        <v>389</v>
      </c>
      <c r="C42" s="220">
        <v>313</v>
      </c>
      <c r="D42" s="220">
        <v>854</v>
      </c>
      <c r="E42" s="220">
        <v>56.21</v>
      </c>
      <c r="F42" s="220">
        <v>540</v>
      </c>
      <c r="G42" s="220">
        <v>453</v>
      </c>
      <c r="H42" s="220">
        <v>120</v>
      </c>
      <c r="I42" s="220">
        <v>74</v>
      </c>
      <c r="J42" s="220">
        <v>41</v>
      </c>
      <c r="K42" s="220">
        <v>94.1</v>
      </c>
      <c r="L42" s="220">
        <v>53.6</v>
      </c>
      <c r="M42" s="220">
        <v>5728</v>
      </c>
      <c r="N42" s="220">
        <v>553</v>
      </c>
      <c r="O42" s="220">
        <v>3719</v>
      </c>
    </row>
    <row r="43" spans="1:22" s="220" customFormat="1" x14ac:dyDescent="0.2">
      <c r="A43" s="220" t="s">
        <v>93</v>
      </c>
      <c r="B43" s="220">
        <v>59635</v>
      </c>
      <c r="C43" s="220">
        <v>41551</v>
      </c>
      <c r="D43" s="220">
        <v>82857</v>
      </c>
      <c r="E43" s="220">
        <v>5384</v>
      </c>
      <c r="F43" s="220">
        <v>59329</v>
      </c>
      <c r="G43" s="220">
        <v>57321</v>
      </c>
      <c r="H43" s="220">
        <v>10356</v>
      </c>
      <c r="I43" s="220">
        <v>8102</v>
      </c>
      <c r="J43" s="220">
        <v>3964</v>
      </c>
      <c r="K43" s="220">
        <v>11006</v>
      </c>
      <c r="L43" s="220">
        <v>8941</v>
      </c>
      <c r="M43" s="220">
        <f>295734134/1000</f>
        <v>295734.13400000002</v>
      </c>
      <c r="N43" s="220">
        <f>32805041/1000</f>
        <v>32805.040999999997</v>
      </c>
      <c r="O43" s="220">
        <f>1313661996/1000</f>
        <v>1313661.996</v>
      </c>
    </row>
    <row r="44" spans="1:22" s="220" customFormat="1" x14ac:dyDescent="0.2">
      <c r="A44" s="220" t="s">
        <v>118</v>
      </c>
      <c r="B44" s="78">
        <v>1749100</v>
      </c>
      <c r="C44" s="78">
        <v>1052300</v>
      </c>
      <c r="D44" s="78">
        <v>2281400</v>
      </c>
      <c r="E44" s="78">
        <v>166900</v>
      </c>
      <c r="F44" s="78">
        <v>1790300</v>
      </c>
      <c r="G44" s="78">
        <v>1549000</v>
      </c>
      <c r="H44" s="78">
        <v>307300</v>
      </c>
      <c r="I44" s="78">
        <v>249900</v>
      </c>
      <c r="J44" s="78">
        <v>133000</v>
      </c>
      <c r="K44" s="78">
        <v>225800</v>
      </c>
      <c r="L44" s="78">
        <v>259700</v>
      </c>
      <c r="M44" s="78">
        <v>10918500</v>
      </c>
      <c r="N44" s="78">
        <v>961800</v>
      </c>
      <c r="O44" s="220">
        <v>6089000</v>
      </c>
    </row>
    <row r="46" spans="1:22" s="220" customFormat="1" x14ac:dyDescent="0.2">
      <c r="B46" s="237"/>
      <c r="C46" s="237"/>
      <c r="D46" s="237"/>
      <c r="E46" s="237"/>
      <c r="F46" s="237"/>
      <c r="H46" s="237"/>
      <c r="I46" s="237"/>
      <c r="J46" s="237"/>
      <c r="K46" s="237"/>
      <c r="L46" s="237"/>
      <c r="M46" s="237"/>
      <c r="N46" s="237"/>
      <c r="O46" s="237"/>
    </row>
    <row r="47" spans="1:22" s="220" customFormat="1" ht="12.75" x14ac:dyDescent="0.2">
      <c r="B47" s="238"/>
      <c r="C47" s="238"/>
      <c r="D47" s="238"/>
      <c r="E47" s="238"/>
      <c r="F47" s="238"/>
      <c r="G47" s="238"/>
      <c r="H47" s="238"/>
      <c r="I47" s="238"/>
      <c r="J47" s="238"/>
      <c r="K47" s="238"/>
      <c r="L47" s="238"/>
      <c r="M47" s="238"/>
      <c r="N47" s="238"/>
      <c r="O47" s="238"/>
    </row>
    <row r="48" spans="1:22" s="220" customFormat="1" x14ac:dyDescent="0.2"/>
    <row r="49" spans="1:1" s="220" customFormat="1" x14ac:dyDescent="0.2">
      <c r="A49" s="233" t="s">
        <v>111</v>
      </c>
    </row>
    <row r="50" spans="1:1" s="220" customFormat="1" x14ac:dyDescent="0.2">
      <c r="A50" s="223" t="s">
        <v>166</v>
      </c>
    </row>
    <row r="51" spans="1:1" x14ac:dyDescent="0.2">
      <c r="A51" s="232" t="s">
        <v>131</v>
      </c>
    </row>
    <row r="52" spans="1:1" x14ac:dyDescent="0.2">
      <c r="A52" s="232" t="s">
        <v>120</v>
      </c>
    </row>
    <row r="53" spans="1:1" x14ac:dyDescent="0.2">
      <c r="A53" s="232" t="s">
        <v>119</v>
      </c>
    </row>
    <row r="54" spans="1:1" x14ac:dyDescent="0.2">
      <c r="A54" s="232" t="s">
        <v>167</v>
      </c>
    </row>
    <row r="55" spans="1:1" x14ac:dyDescent="0.2">
      <c r="A55" s="263" t="s">
        <v>139</v>
      </c>
    </row>
    <row r="56" spans="1:1" x14ac:dyDescent="0.2">
      <c r="A56" s="263" t="s">
        <v>141</v>
      </c>
    </row>
  </sheetData>
  <sheetProtection password="CC16" sheet="1" objects="1" scenarios="1"/>
  <phoneticPr fontId="3" type="noConversion"/>
  <pageMargins left="0.75" right="0.75" top="1" bottom="1" header="0" footer="0"/>
  <pageSetup paperSize="9" orientation="portrait" verticalDpi="0" r:id="rId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7"/>
  <dimension ref="A1:L39"/>
  <sheetViews>
    <sheetView workbookViewId="0">
      <selection activeCell="Q17" sqref="Q17"/>
    </sheetView>
  </sheetViews>
  <sheetFormatPr baseColWidth="10" defaultRowHeight="11.25" x14ac:dyDescent="0.2"/>
  <cols>
    <col min="1" max="1" width="9.28515625" style="48" customWidth="1"/>
    <col min="2" max="12" width="8.5703125" style="48" customWidth="1"/>
    <col min="13" max="16384" width="11.42578125" style="48"/>
  </cols>
  <sheetData>
    <row r="1" spans="1:12" ht="12.75" x14ac:dyDescent="0.2">
      <c r="A1" s="270" t="s">
        <v>171</v>
      </c>
    </row>
    <row r="2" spans="1:12" ht="12.75" x14ac:dyDescent="0.2">
      <c r="A2" s="180" t="s">
        <v>114</v>
      </c>
    </row>
    <row r="4" spans="1:12" x14ac:dyDescent="0.2">
      <c r="A4" s="140" t="s">
        <v>113</v>
      </c>
    </row>
    <row r="6" spans="1:12" ht="12" thickBot="1" x14ac:dyDescent="0.25">
      <c r="B6" s="234" t="s">
        <v>23</v>
      </c>
      <c r="C6" s="234" t="s">
        <v>25</v>
      </c>
      <c r="D6" s="234" t="s">
        <v>29</v>
      </c>
      <c r="E6" s="234" t="s">
        <v>26</v>
      </c>
      <c r="F6" s="234" t="s">
        <v>28</v>
      </c>
      <c r="G6" s="234" t="s">
        <v>31</v>
      </c>
      <c r="H6" s="234" t="s">
        <v>30</v>
      </c>
      <c r="I6" s="234" t="s">
        <v>33</v>
      </c>
      <c r="J6" s="234" t="s">
        <v>107</v>
      </c>
      <c r="K6" s="234" t="s">
        <v>34</v>
      </c>
      <c r="L6" s="234" t="s">
        <v>32</v>
      </c>
    </row>
    <row r="7" spans="1:12" x14ac:dyDescent="0.2">
      <c r="A7" s="140" t="s">
        <v>112</v>
      </c>
      <c r="B7" s="78">
        <v>529</v>
      </c>
      <c r="C7" s="78">
        <v>402</v>
      </c>
      <c r="D7" s="78">
        <v>1027</v>
      </c>
      <c r="E7" s="78">
        <v>82</v>
      </c>
      <c r="F7" s="78">
        <v>675</v>
      </c>
      <c r="G7" s="78">
        <v>581</v>
      </c>
      <c r="H7" s="78">
        <v>153</v>
      </c>
      <c r="I7" s="78">
        <v>89</v>
      </c>
      <c r="J7" s="78">
        <v>54</v>
      </c>
      <c r="K7" s="78">
        <v>116</v>
      </c>
      <c r="L7" s="78">
        <v>77</v>
      </c>
    </row>
    <row r="8" spans="1:12" x14ac:dyDescent="0.2">
      <c r="A8" s="140" t="s">
        <v>168</v>
      </c>
      <c r="B8" s="220">
        <v>557</v>
      </c>
      <c r="C8" s="220">
        <v>402</v>
      </c>
      <c r="D8" s="220">
        <v>1017</v>
      </c>
      <c r="E8" s="220">
        <v>75</v>
      </c>
      <c r="F8" s="220">
        <v>651</v>
      </c>
      <c r="G8" s="220">
        <v>569</v>
      </c>
      <c r="H8" s="220">
        <v>147</v>
      </c>
      <c r="I8" s="220">
        <v>91</v>
      </c>
      <c r="J8" s="220">
        <v>66.569999999999993</v>
      </c>
      <c r="K8" s="220">
        <v>137</v>
      </c>
      <c r="L8" s="220">
        <v>70</v>
      </c>
    </row>
    <row r="9" spans="1:12" x14ac:dyDescent="0.2">
      <c r="A9" s="235" t="s">
        <v>91</v>
      </c>
      <c r="B9" s="236">
        <f>(B7-B8)/B8</f>
        <v>-5.0269299820466788E-2</v>
      </c>
      <c r="C9" s="236">
        <f t="shared" ref="C9:L9" si="0">(C7-C8)/C8</f>
        <v>0</v>
      </c>
      <c r="D9" s="236">
        <f t="shared" si="0"/>
        <v>9.8328416912487702E-3</v>
      </c>
      <c r="E9" s="236">
        <f t="shared" si="0"/>
        <v>9.3333333333333338E-2</v>
      </c>
      <c r="F9" s="236">
        <f t="shared" si="0"/>
        <v>3.6866359447004608E-2</v>
      </c>
      <c r="G9" s="236">
        <f t="shared" si="0"/>
        <v>2.10896309314587E-2</v>
      </c>
      <c r="H9" s="236">
        <f t="shared" si="0"/>
        <v>4.0816326530612242E-2</v>
      </c>
      <c r="I9" s="236">
        <f t="shared" si="0"/>
        <v>-2.197802197802198E-2</v>
      </c>
      <c r="J9" s="236">
        <f t="shared" si="0"/>
        <v>-0.18882379450202785</v>
      </c>
      <c r="K9" s="236">
        <f t="shared" si="0"/>
        <v>-0.15328467153284672</v>
      </c>
      <c r="L9" s="236">
        <f t="shared" si="0"/>
        <v>0.1</v>
      </c>
    </row>
    <row r="36" spans="1:11" x14ac:dyDescent="0.2">
      <c r="A36" s="140" t="s">
        <v>121</v>
      </c>
    </row>
    <row r="37" spans="1:11" x14ac:dyDescent="0.2">
      <c r="A37" s="48" t="s">
        <v>24</v>
      </c>
      <c r="B37" s="99">
        <v>0.1</v>
      </c>
    </row>
    <row r="38" spans="1:11" x14ac:dyDescent="0.2">
      <c r="A38" s="48" t="s">
        <v>27</v>
      </c>
      <c r="B38" s="99">
        <v>-0.01</v>
      </c>
    </row>
    <row r="39" spans="1:11" x14ac:dyDescent="0.2">
      <c r="A39" s="48" t="s">
        <v>94</v>
      </c>
      <c r="B39" s="99">
        <v>0.75</v>
      </c>
      <c r="C39" s="267" t="s">
        <v>172</v>
      </c>
      <c r="K39" s="98"/>
    </row>
  </sheetData>
  <sheetProtection password="CC16" sheet="1" objects="1" scenarios="1"/>
  <phoneticPr fontId="3" type="noConversion"/>
  <pageMargins left="0.75" right="0.75" top="1" bottom="1" header="0" footer="0"/>
  <headerFooter alignWithMargins="0"/>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Consumption</vt:lpstr>
      <vt:lpstr>Electricity Production</vt:lpstr>
      <vt:lpstr>Balance - CO2</vt:lpstr>
      <vt:lpstr>Parameters</vt:lpstr>
      <vt:lpstr>Countries Data</vt:lpstr>
      <vt:lpstr>Accuracy Test</vt:lpstr>
    </vt:vector>
  </TitlesOfParts>
  <Company>Universidad de Castilla-La Mancha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Antoine Bret</dc:creator>
  <cp:lastModifiedBy>ANTOINE CLAUDE BRET </cp:lastModifiedBy>
  <cp:lastPrinted>2006-04-19T15:15:40Z</cp:lastPrinted>
  <dcterms:created xsi:type="dcterms:W3CDTF">2006-04-03T21:31:59Z</dcterms:created>
  <dcterms:modified xsi:type="dcterms:W3CDTF">2014-05-06T15:16:06Z</dcterms:modified>
</cp:coreProperties>
</file>